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80" windowWidth="12120" windowHeight="8760"/>
  </bookViews>
  <sheets>
    <sheet name="Budg Nature" sheetId="3" r:id="rId1"/>
  </sheets>
  <definedNames>
    <definedName name="_xlnm.Print_Area" localSheetId="0">'Budg Nature'!$A$1:$S$133</definedName>
    <definedName name="_xlnm.Print_Titles" localSheetId="0">'Budg Nature'!$1:$1</definedName>
  </definedNames>
  <calcPr calcId="145621"/>
</workbook>
</file>

<file path=xl/calcChain.xml><?xml version="1.0" encoding="utf-8"?>
<calcChain xmlns="http://schemas.openxmlformats.org/spreadsheetml/2006/main">
  <c r="R45" i="3" l="1"/>
  <c r="R38" i="3"/>
  <c r="R120" i="3" l="1"/>
  <c r="R101" i="3"/>
  <c r="R121" i="3" l="1"/>
  <c r="R102" i="3"/>
  <c r="P80" i="3"/>
  <c r="R127" i="3"/>
  <c r="R124" i="3"/>
  <c r="R118" i="3"/>
  <c r="R115" i="3"/>
  <c r="R112" i="3"/>
  <c r="R105" i="3"/>
  <c r="R98" i="3"/>
  <c r="R95" i="3"/>
  <c r="R89" i="3"/>
  <c r="R91" i="3" s="1"/>
  <c r="R85" i="3"/>
  <c r="R82" i="3"/>
  <c r="R86" i="3" s="1"/>
  <c r="R76" i="3"/>
  <c r="R73" i="3"/>
  <c r="R77" i="3" s="1"/>
  <c r="R65" i="3"/>
  <c r="R62" i="3"/>
  <c r="R57" i="3"/>
  <c r="R53" i="3"/>
  <c r="R48" i="3"/>
  <c r="R43" i="3"/>
  <c r="R40" i="3"/>
  <c r="R29" i="3"/>
  <c r="R26" i="3"/>
  <c r="R23" i="3"/>
  <c r="R49" i="3" l="1"/>
  <c r="R30" i="3"/>
  <c r="R131" i="3"/>
  <c r="R132" i="3" s="1"/>
  <c r="R106" i="3"/>
  <c r="R107" i="3" s="1"/>
  <c r="R66" i="3"/>
  <c r="R67" i="3"/>
  <c r="N111" i="3"/>
  <c r="N112" i="3" s="1"/>
  <c r="R133" i="3" l="1"/>
  <c r="N101" i="3"/>
  <c r="N102" i="3" s="1"/>
  <c r="N106" i="3" s="1"/>
  <c r="N107" i="3" s="1"/>
  <c r="N55" i="3"/>
  <c r="O127" i="3" l="1"/>
  <c r="O124" i="3"/>
  <c r="O121" i="3"/>
  <c r="N120" i="3"/>
  <c r="N121" i="3" s="1"/>
  <c r="O118" i="3"/>
  <c r="O115" i="3"/>
  <c r="N114" i="3"/>
  <c r="N115" i="3" s="1"/>
  <c r="O112" i="3"/>
  <c r="O105" i="3"/>
  <c r="O102" i="3"/>
  <c r="O98" i="3"/>
  <c r="O95" i="3"/>
  <c r="O89" i="3"/>
  <c r="O91" i="3" s="1"/>
  <c r="O85" i="3"/>
  <c r="O82" i="3"/>
  <c r="O76" i="3"/>
  <c r="O73" i="3"/>
  <c r="O65" i="3"/>
  <c r="N64" i="3"/>
  <c r="N65" i="3" s="1"/>
  <c r="O62" i="3"/>
  <c r="N59" i="3"/>
  <c r="N62" i="3" s="1"/>
  <c r="N57" i="3"/>
  <c r="O57" i="3"/>
  <c r="N46" i="3"/>
  <c r="N48" i="3" s="1"/>
  <c r="N52" i="3"/>
  <c r="N53" i="3" s="1"/>
  <c r="O53" i="3"/>
  <c r="O48" i="3"/>
  <c r="O43" i="3"/>
  <c r="O40" i="3"/>
  <c r="O29" i="3"/>
  <c r="O26" i="3"/>
  <c r="O23" i="3"/>
  <c r="O86" i="3" l="1"/>
  <c r="N131" i="3"/>
  <c r="N132" i="3" s="1"/>
  <c r="O77" i="3"/>
  <c r="O131" i="3"/>
  <c r="O132" i="3" s="1"/>
  <c r="O30" i="3"/>
  <c r="O49" i="3"/>
  <c r="N66" i="3"/>
  <c r="O106" i="3"/>
  <c r="O107" i="3" s="1"/>
  <c r="O66" i="3"/>
  <c r="M89" i="3"/>
  <c r="M42" i="3"/>
  <c r="N42" i="3" s="1"/>
  <c r="N43" i="3" s="1"/>
  <c r="O67" i="3" l="1"/>
  <c r="O133" i="3" s="1"/>
  <c r="O139" i="3" s="1"/>
  <c r="M38" i="3"/>
  <c r="N38" i="3" s="1"/>
  <c r="N40" i="3" s="1"/>
  <c r="N49" i="3" s="1"/>
  <c r="N67" i="3" s="1"/>
  <c r="N133" i="3" s="1"/>
  <c r="M16" i="3"/>
  <c r="M7" i="3"/>
  <c r="O7" i="3" s="1"/>
  <c r="R7" i="3" s="1"/>
  <c r="M29" i="3"/>
  <c r="M26" i="3"/>
  <c r="M23" i="3"/>
  <c r="L14" i="3"/>
  <c r="L17" i="3"/>
  <c r="M13" i="3"/>
  <c r="O13" i="3" s="1"/>
  <c r="R13" i="3" s="1"/>
  <c r="M12" i="3"/>
  <c r="O12" i="3" s="1"/>
  <c r="R12" i="3" s="1"/>
  <c r="M11" i="3"/>
  <c r="O11" i="3" s="1"/>
  <c r="R11" i="3" s="1"/>
  <c r="M10" i="3"/>
  <c r="O10" i="3" s="1"/>
  <c r="R10" i="3" s="1"/>
  <c r="M9" i="3"/>
  <c r="O9" i="3" s="1"/>
  <c r="R9" i="3" s="1"/>
  <c r="M8" i="3"/>
  <c r="O8" i="3" s="1"/>
  <c r="R8" i="3" s="1"/>
  <c r="L18" i="3" l="1"/>
  <c r="L19" i="3" s="1"/>
  <c r="L31" i="3" s="1"/>
  <c r="R14" i="3"/>
  <c r="M30" i="3"/>
  <c r="M17" i="3"/>
  <c r="M18" i="3" s="1"/>
  <c r="M19" i="3" s="1"/>
  <c r="M31" i="3" s="1"/>
  <c r="O16" i="3"/>
  <c r="O14" i="3"/>
  <c r="M14" i="3"/>
  <c r="O17" i="3" l="1"/>
  <c r="O18" i="3" s="1"/>
  <c r="O19" i="3" s="1"/>
  <c r="O31" i="3" s="1"/>
  <c r="R16" i="3"/>
  <c r="R17" i="3" s="1"/>
  <c r="R18" i="3" s="1"/>
  <c r="R19" i="3" s="1"/>
  <c r="R31" i="3" s="1"/>
  <c r="L120" i="3"/>
  <c r="L121" i="3" s="1"/>
  <c r="L117" i="3"/>
  <c r="L118" i="3" s="1"/>
  <c r="L114" i="3"/>
  <c r="L115" i="3" s="1"/>
  <c r="L111" i="3"/>
  <c r="L112" i="3" s="1"/>
  <c r="L130" i="3"/>
  <c r="M130" i="3"/>
  <c r="M124" i="3"/>
  <c r="M121" i="3"/>
  <c r="M118" i="3"/>
  <c r="M115" i="3"/>
  <c r="M112" i="3"/>
  <c r="M105" i="3"/>
  <c r="L104" i="3"/>
  <c r="L105" i="3" s="1"/>
  <c r="M102" i="3"/>
  <c r="L100" i="3"/>
  <c r="M98" i="3"/>
  <c r="L97" i="3"/>
  <c r="L98" i="3" s="1"/>
  <c r="M95" i="3"/>
  <c r="L94" i="3"/>
  <c r="L93" i="3"/>
  <c r="M127" i="3"/>
  <c r="M91" i="3"/>
  <c r="L90" i="3"/>
  <c r="L89" i="3"/>
  <c r="M85" i="3"/>
  <c r="M82" i="3"/>
  <c r="L84" i="3"/>
  <c r="L85" i="3" s="1"/>
  <c r="L81" i="3"/>
  <c r="L80" i="3"/>
  <c r="M76" i="3"/>
  <c r="L75" i="3"/>
  <c r="L76" i="3" s="1"/>
  <c r="J93" i="3"/>
  <c r="J89" i="3"/>
  <c r="J84" i="3"/>
  <c r="J81" i="3"/>
  <c r="J75" i="3"/>
  <c r="J71" i="3"/>
  <c r="M73" i="3"/>
  <c r="M77" i="3" s="1"/>
  <c r="L71" i="3"/>
  <c r="M65" i="3"/>
  <c r="L64" i="3"/>
  <c r="L65" i="3" s="1"/>
  <c r="M62" i="3"/>
  <c r="L61" i="3"/>
  <c r="L60" i="3"/>
  <c r="L59" i="3"/>
  <c r="M57" i="3"/>
  <c r="L55" i="3"/>
  <c r="L57" i="3" s="1"/>
  <c r="M53" i="3"/>
  <c r="L52" i="3"/>
  <c r="L53" i="3" s="1"/>
  <c r="M48" i="3"/>
  <c r="L46" i="3"/>
  <c r="L48" i="3" s="1"/>
  <c r="L45" i="3"/>
  <c r="M43" i="3"/>
  <c r="L42" i="3"/>
  <c r="L43" i="3" s="1"/>
  <c r="M40" i="3"/>
  <c r="L95" i="3" l="1"/>
  <c r="M86" i="3"/>
  <c r="M66" i="3"/>
  <c r="L62" i="3"/>
  <c r="L66" i="3" s="1"/>
  <c r="M49" i="3"/>
  <c r="M67" i="3" s="1"/>
  <c r="M106" i="3"/>
  <c r="M131" i="3"/>
  <c r="M132" i="3" s="1"/>
  <c r="L82" i="3"/>
  <c r="L86" i="3" s="1"/>
  <c r="L91" i="3"/>
  <c r="M107" i="3" l="1"/>
  <c r="M133" i="3" s="1"/>
  <c r="K101" i="3"/>
  <c r="H102" i="3"/>
  <c r="I102" i="3"/>
  <c r="J102" i="3"/>
  <c r="H98" i="3"/>
  <c r="I98" i="3"/>
  <c r="J98" i="3"/>
  <c r="H95" i="3"/>
  <c r="I95" i="3"/>
  <c r="J95" i="3"/>
  <c r="H91" i="3"/>
  <c r="I91" i="3"/>
  <c r="J91" i="3"/>
  <c r="H85" i="3"/>
  <c r="I85" i="3"/>
  <c r="J85" i="3"/>
  <c r="H82" i="3"/>
  <c r="I82" i="3"/>
  <c r="I86" i="3" s="1"/>
  <c r="J82" i="3"/>
  <c r="I77" i="3"/>
  <c r="H76" i="3"/>
  <c r="I76" i="3"/>
  <c r="J76" i="3"/>
  <c r="H73" i="3"/>
  <c r="H77" i="3" s="1"/>
  <c r="I73" i="3"/>
  <c r="J73" i="3"/>
  <c r="H65" i="3"/>
  <c r="I65" i="3"/>
  <c r="J65" i="3"/>
  <c r="H62" i="3"/>
  <c r="I62" i="3"/>
  <c r="J62" i="3"/>
  <c r="H57" i="3"/>
  <c r="I57" i="3"/>
  <c r="J57" i="3"/>
  <c r="H53" i="3"/>
  <c r="I53" i="3"/>
  <c r="J53" i="3"/>
  <c r="I48" i="3"/>
  <c r="J48" i="3"/>
  <c r="H43" i="3"/>
  <c r="J43" i="3"/>
  <c r="H40" i="3"/>
  <c r="I40" i="3"/>
  <c r="J40" i="3"/>
  <c r="K123" i="3"/>
  <c r="J112" i="3"/>
  <c r="J115" i="3"/>
  <c r="J118" i="3"/>
  <c r="J121" i="3"/>
  <c r="J127" i="3"/>
  <c r="J124" i="3"/>
  <c r="K130" i="3"/>
  <c r="K126" i="3"/>
  <c r="L126" i="3" s="1"/>
  <c r="K121" i="3"/>
  <c r="K118" i="3"/>
  <c r="K115" i="3"/>
  <c r="K112" i="3"/>
  <c r="K105" i="3"/>
  <c r="K98" i="3"/>
  <c r="K95" i="3"/>
  <c r="K91" i="3"/>
  <c r="K85" i="3"/>
  <c r="K82" i="3"/>
  <c r="K76" i="3"/>
  <c r="K72" i="3"/>
  <c r="K65" i="3"/>
  <c r="K62" i="3"/>
  <c r="K57" i="3"/>
  <c r="K53" i="3"/>
  <c r="K48" i="3"/>
  <c r="K43" i="3"/>
  <c r="K38" i="3"/>
  <c r="L38" i="3" s="1"/>
  <c r="L40" i="3" s="1"/>
  <c r="L49" i="3" s="1"/>
  <c r="L67" i="3" s="1"/>
  <c r="J26" i="3"/>
  <c r="J23" i="3"/>
  <c r="K29" i="3"/>
  <c r="K26" i="3"/>
  <c r="K23" i="3"/>
  <c r="J17" i="3"/>
  <c r="K17" i="3"/>
  <c r="J14" i="3"/>
  <c r="K14" i="3"/>
  <c r="F11" i="3"/>
  <c r="H86" i="3" l="1"/>
  <c r="K124" i="3"/>
  <c r="L123" i="3"/>
  <c r="L124" i="3" s="1"/>
  <c r="J66" i="3"/>
  <c r="J77" i="3"/>
  <c r="J86" i="3"/>
  <c r="K18" i="3"/>
  <c r="K19" i="3" s="1"/>
  <c r="K40" i="3"/>
  <c r="K49" i="3" s="1"/>
  <c r="J49" i="3"/>
  <c r="I66" i="3"/>
  <c r="K86" i="3"/>
  <c r="H66" i="3"/>
  <c r="J67" i="3"/>
  <c r="J18" i="3"/>
  <c r="J19" i="3" s="1"/>
  <c r="J31" i="3" s="1"/>
  <c r="K66" i="3"/>
  <c r="K73" i="3"/>
  <c r="K77" i="3" s="1"/>
  <c r="L72" i="3"/>
  <c r="L73" i="3" s="1"/>
  <c r="L77" i="3" s="1"/>
  <c r="K127" i="3"/>
  <c r="K131" i="3" s="1"/>
  <c r="K132" i="3" s="1"/>
  <c r="L127" i="3"/>
  <c r="L131" i="3" s="1"/>
  <c r="L132" i="3" s="1"/>
  <c r="K102" i="3"/>
  <c r="L101" i="3"/>
  <c r="L102" i="3" s="1"/>
  <c r="L106" i="3" s="1"/>
  <c r="L107" i="3" s="1"/>
  <c r="J131" i="3"/>
  <c r="J132" i="3" s="1"/>
  <c r="J106" i="3"/>
  <c r="K106" i="3"/>
  <c r="K67" i="3"/>
  <c r="K30" i="3"/>
  <c r="K31" i="3" s="1"/>
  <c r="F72" i="3"/>
  <c r="H10" i="3"/>
  <c r="F126" i="3"/>
  <c r="J107" i="3" l="1"/>
  <c r="J133" i="3" s="1"/>
  <c r="L133" i="3"/>
  <c r="K107" i="3"/>
  <c r="K133" i="3" s="1"/>
  <c r="I42" i="3"/>
  <c r="I43" i="3" s="1"/>
  <c r="I49" i="3" s="1"/>
  <c r="I67" i="3" s="1"/>
  <c r="F16" i="3"/>
  <c r="F13" i="3"/>
  <c r="G12" i="3"/>
  <c r="F12" i="3" s="1"/>
  <c r="I10" i="3"/>
  <c r="G10" i="3"/>
  <c r="F9" i="3"/>
  <c r="F8" i="3"/>
  <c r="F7" i="3"/>
  <c r="F38" i="3"/>
  <c r="F10" i="3" l="1"/>
  <c r="F14" i="3" s="1"/>
  <c r="C14" i="3"/>
  <c r="D14" i="3"/>
  <c r="E14" i="3"/>
  <c r="G14" i="3"/>
  <c r="H14" i="3"/>
  <c r="I14" i="3"/>
  <c r="C17" i="3"/>
  <c r="D17" i="3"/>
  <c r="E17" i="3"/>
  <c r="F17" i="3"/>
  <c r="G17" i="3"/>
  <c r="H17" i="3"/>
  <c r="I17" i="3"/>
  <c r="C23" i="3"/>
  <c r="D23" i="3"/>
  <c r="E23" i="3"/>
  <c r="F23" i="3"/>
  <c r="G23" i="3"/>
  <c r="H23" i="3"/>
  <c r="I23" i="3"/>
  <c r="C26" i="3"/>
  <c r="D26" i="3"/>
  <c r="E26" i="3"/>
  <c r="F26" i="3"/>
  <c r="G26" i="3"/>
  <c r="H26" i="3"/>
  <c r="I26" i="3"/>
  <c r="C29" i="3"/>
  <c r="D29" i="3"/>
  <c r="E29" i="3"/>
  <c r="F29" i="3"/>
  <c r="G29" i="3"/>
  <c r="H29" i="3"/>
  <c r="I29" i="3"/>
  <c r="G38" i="3"/>
  <c r="G40" i="3" s="1"/>
  <c r="C40" i="3"/>
  <c r="D40" i="3"/>
  <c r="E40" i="3"/>
  <c r="F40" i="3"/>
  <c r="G42" i="3"/>
  <c r="G43" i="3" s="1"/>
  <c r="C43" i="3"/>
  <c r="D43" i="3"/>
  <c r="E43" i="3"/>
  <c r="F43" i="3"/>
  <c r="H45" i="3"/>
  <c r="G46" i="3"/>
  <c r="C48" i="3"/>
  <c r="D48" i="3"/>
  <c r="E48" i="3"/>
  <c r="F48" i="3"/>
  <c r="G52" i="3"/>
  <c r="G53" i="3" s="1"/>
  <c r="C53" i="3"/>
  <c r="D53" i="3"/>
  <c r="E53" i="3"/>
  <c r="F53" i="3"/>
  <c r="G55" i="3"/>
  <c r="G57" i="3" s="1"/>
  <c r="C57" i="3"/>
  <c r="D57" i="3"/>
  <c r="E57" i="3"/>
  <c r="F57" i="3"/>
  <c r="G59" i="3"/>
  <c r="G60" i="3"/>
  <c r="G61" i="3"/>
  <c r="C62" i="3"/>
  <c r="D62" i="3"/>
  <c r="E62" i="3"/>
  <c r="F62" i="3"/>
  <c r="G64" i="3"/>
  <c r="G65" i="3" s="1"/>
  <c r="C65" i="3"/>
  <c r="D65" i="3"/>
  <c r="E65" i="3"/>
  <c r="F65" i="3"/>
  <c r="G71" i="3"/>
  <c r="G72" i="3"/>
  <c r="C73" i="3"/>
  <c r="D73" i="3"/>
  <c r="E73" i="3"/>
  <c r="F73" i="3"/>
  <c r="G75" i="3"/>
  <c r="G76" i="3" s="1"/>
  <c r="C76" i="3"/>
  <c r="D76" i="3"/>
  <c r="E76" i="3"/>
  <c r="F76" i="3"/>
  <c r="G80" i="3"/>
  <c r="G81" i="3"/>
  <c r="C82" i="3"/>
  <c r="D82" i="3"/>
  <c r="E82" i="3"/>
  <c r="F82" i="3"/>
  <c r="G84" i="3"/>
  <c r="G85" i="3" s="1"/>
  <c r="C85" i="3"/>
  <c r="D85" i="3"/>
  <c r="E85" i="3"/>
  <c r="F85" i="3"/>
  <c r="G89" i="3"/>
  <c r="G90" i="3"/>
  <c r="C91" i="3"/>
  <c r="D91" i="3"/>
  <c r="E91" i="3"/>
  <c r="F91" i="3"/>
  <c r="G93" i="3"/>
  <c r="G94" i="3"/>
  <c r="C95" i="3"/>
  <c r="D95" i="3"/>
  <c r="E95" i="3"/>
  <c r="F95" i="3"/>
  <c r="G97" i="3"/>
  <c r="G98" i="3" s="1"/>
  <c r="C98" i="3"/>
  <c r="D98" i="3"/>
  <c r="E98" i="3"/>
  <c r="F98" i="3"/>
  <c r="G100" i="3"/>
  <c r="G101" i="3"/>
  <c r="C102" i="3"/>
  <c r="D102" i="3"/>
  <c r="E102" i="3"/>
  <c r="F102" i="3"/>
  <c r="G104" i="3"/>
  <c r="G105" i="3" s="1"/>
  <c r="C105" i="3"/>
  <c r="D105" i="3"/>
  <c r="E105" i="3"/>
  <c r="F105" i="3"/>
  <c r="H105" i="3"/>
  <c r="H106" i="3" s="1"/>
  <c r="H107" i="3" s="1"/>
  <c r="I105" i="3"/>
  <c r="I106" i="3" s="1"/>
  <c r="I107" i="3" s="1"/>
  <c r="C112" i="3"/>
  <c r="D112" i="3"/>
  <c r="E112" i="3"/>
  <c r="F112" i="3"/>
  <c r="C115" i="3"/>
  <c r="D115" i="3"/>
  <c r="E115" i="3"/>
  <c r="F115" i="3"/>
  <c r="C118" i="3"/>
  <c r="D118" i="3"/>
  <c r="E118" i="3"/>
  <c r="F118" i="3"/>
  <c r="C121" i="3"/>
  <c r="D121" i="3"/>
  <c r="E121" i="3"/>
  <c r="F121" i="3"/>
  <c r="C124" i="3"/>
  <c r="D124" i="3"/>
  <c r="E124" i="3"/>
  <c r="F124" i="3"/>
  <c r="C127" i="3"/>
  <c r="D127" i="3"/>
  <c r="E127" i="3"/>
  <c r="F127" i="3"/>
  <c r="C130" i="3"/>
  <c r="D130" i="3"/>
  <c r="E130" i="3"/>
  <c r="F130" i="3"/>
  <c r="G91" i="3" l="1"/>
  <c r="I30" i="3"/>
  <c r="H30" i="3"/>
  <c r="D30" i="3"/>
  <c r="D66" i="3"/>
  <c r="G95" i="3"/>
  <c r="G73" i="3"/>
  <c r="G77" i="3" s="1"/>
  <c r="G102" i="3"/>
  <c r="G82" i="3"/>
  <c r="G86" i="3" s="1"/>
  <c r="G62" i="3"/>
  <c r="G66" i="3" s="1"/>
  <c r="G45" i="3"/>
  <c r="G48" i="3" s="1"/>
  <c r="G49" i="3" s="1"/>
  <c r="H48" i="3"/>
  <c r="H49" i="3" s="1"/>
  <c r="H67" i="3" s="1"/>
  <c r="C18" i="3"/>
  <c r="C19" i="3" s="1"/>
  <c r="D18" i="3"/>
  <c r="D19" i="3" s="1"/>
  <c r="D31" i="3" s="1"/>
  <c r="C106" i="3"/>
  <c r="E86" i="3"/>
  <c r="E30" i="3"/>
  <c r="C131" i="3"/>
  <c r="C132" i="3" s="1"/>
  <c r="C66" i="3"/>
  <c r="D106" i="3"/>
  <c r="F86" i="3"/>
  <c r="D49" i="3"/>
  <c r="D67" i="3" s="1"/>
  <c r="E77" i="3"/>
  <c r="G30" i="3"/>
  <c r="C30" i="3"/>
  <c r="F30" i="3"/>
  <c r="D131" i="3"/>
  <c r="D132" i="3" s="1"/>
  <c r="C77" i="3"/>
  <c r="G18" i="3"/>
  <c r="G19" i="3" s="1"/>
  <c r="F77" i="3"/>
  <c r="C49" i="3"/>
  <c r="D86" i="3"/>
  <c r="E66" i="3"/>
  <c r="F49" i="3"/>
  <c r="C86" i="3"/>
  <c r="D77" i="3"/>
  <c r="H18" i="3"/>
  <c r="H19" i="3" s="1"/>
  <c r="H31" i="3" s="1"/>
  <c r="I18" i="3"/>
  <c r="I19" i="3" s="1"/>
  <c r="I31" i="3" s="1"/>
  <c r="F18" i="3"/>
  <c r="F19" i="3" s="1"/>
  <c r="F106" i="3"/>
  <c r="F131" i="3"/>
  <c r="F66" i="3"/>
  <c r="E131" i="3"/>
  <c r="E132" i="3" s="1"/>
  <c r="E106" i="3"/>
  <c r="E107" i="3" s="1"/>
  <c r="E49" i="3"/>
  <c r="E18" i="3"/>
  <c r="G106" i="3" l="1"/>
  <c r="G107" i="3" s="1"/>
  <c r="C107" i="3"/>
  <c r="F31" i="3"/>
  <c r="C67" i="3"/>
  <c r="D107" i="3"/>
  <c r="D133" i="3" s="1"/>
  <c r="D134" i="3" s="1"/>
  <c r="G67" i="3"/>
  <c r="C31" i="3"/>
  <c r="G31" i="3"/>
  <c r="F107" i="3"/>
  <c r="H136" i="3"/>
  <c r="F132" i="3"/>
  <c r="I136" i="3"/>
  <c r="F67" i="3"/>
  <c r="E67" i="3"/>
  <c r="E133" i="3" s="1"/>
  <c r="E19" i="3"/>
  <c r="C133" i="3" l="1"/>
  <c r="C134" i="3"/>
  <c r="H120" i="3"/>
  <c r="H121" i="3" s="1"/>
  <c r="H114" i="3"/>
  <c r="H115" i="3" s="1"/>
  <c r="H123" i="3"/>
  <c r="H124" i="3" s="1"/>
  <c r="H117" i="3"/>
  <c r="H118" i="3" s="1"/>
  <c r="H111" i="3"/>
  <c r="H112" i="3" s="1"/>
  <c r="H126" i="3"/>
  <c r="H127" i="3" s="1"/>
  <c r="I123" i="3"/>
  <c r="I124" i="3" s="1"/>
  <c r="I111" i="3"/>
  <c r="I112" i="3" s="1"/>
  <c r="I120" i="3"/>
  <c r="I114" i="3"/>
  <c r="I115" i="3" s="1"/>
  <c r="I117" i="3"/>
  <c r="I118" i="3" s="1"/>
  <c r="I126" i="3"/>
  <c r="I127" i="3" s="1"/>
  <c r="I129" i="3"/>
  <c r="I130" i="3" s="1"/>
  <c r="H129" i="3"/>
  <c r="F133" i="3"/>
  <c r="E31" i="3"/>
  <c r="G120" i="3" l="1"/>
  <c r="G121" i="3" s="1"/>
  <c r="I121" i="3"/>
  <c r="I131" i="3" s="1"/>
  <c r="I132" i="3" s="1"/>
  <c r="I133" i="3" s="1"/>
  <c r="G117" i="3"/>
  <c r="G118" i="3" s="1"/>
  <c r="G129" i="3"/>
  <c r="G130" i="3" s="1"/>
  <c r="G114" i="3"/>
  <c r="G115" i="3" s="1"/>
  <c r="G126" i="3"/>
  <c r="G127" i="3" s="1"/>
  <c r="H130" i="3"/>
  <c r="H131" i="3" s="1"/>
  <c r="H132" i="3" s="1"/>
  <c r="H133" i="3" s="1"/>
  <c r="G123" i="3"/>
  <c r="G124" i="3" s="1"/>
  <c r="F134" i="3"/>
  <c r="E134" i="3"/>
  <c r="H134" i="3" l="1"/>
  <c r="G111" i="3"/>
  <c r="I134" i="3"/>
  <c r="G112" i="3" l="1"/>
  <c r="G131" i="3" s="1"/>
  <c r="G132" i="3" s="1"/>
  <c r="G133" i="3" s="1"/>
  <c r="G134" i="3" s="1"/>
</calcChain>
</file>

<file path=xl/comments1.xml><?xml version="1.0" encoding="utf-8"?>
<comments xmlns="http://schemas.openxmlformats.org/spreadsheetml/2006/main">
  <authors>
    <author>DERIDEAU Etienne (EACEA)</author>
  </authors>
  <commentList>
    <comment ref="P38" authorId="0">
      <text>
        <r>
          <rPr>
            <b/>
            <sz val="9"/>
            <color indexed="81"/>
            <rFont val="Tahoma"/>
            <charset val="1"/>
          </rPr>
          <t>DERIDEAU Etienne (EACEA):</t>
        </r>
        <r>
          <rPr>
            <sz val="9"/>
            <color indexed="81"/>
            <rFont val="Tahoma"/>
            <charset val="1"/>
          </rPr>
          <t xml:space="preserve">
transfert post SC décembre</t>
        </r>
      </text>
    </comment>
    <comment ref="P45" authorId="0">
      <text>
        <r>
          <rPr>
            <b/>
            <sz val="9"/>
            <color indexed="81"/>
            <rFont val="Tahoma"/>
            <charset val="1"/>
          </rPr>
          <t>DERIDEAU Etienne (EACEA):</t>
        </r>
        <r>
          <rPr>
            <sz val="9"/>
            <color indexed="81"/>
            <rFont val="Tahoma"/>
            <charset val="1"/>
          </rPr>
          <t xml:space="preserve">
transfert post SC décembre</t>
        </r>
      </text>
    </comment>
  </commentList>
</comments>
</file>

<file path=xl/sharedStrings.xml><?xml version="1.0" encoding="utf-8"?>
<sst xmlns="http://schemas.openxmlformats.org/spreadsheetml/2006/main" count="358" uniqueCount="188">
  <si>
    <t xml:space="preserve">Autres dépenses de fonctionnement </t>
  </si>
  <si>
    <t>TOTAL DEPENSES</t>
  </si>
  <si>
    <t>Intitulé</t>
  </si>
  <si>
    <t>Commentaires</t>
  </si>
  <si>
    <t> </t>
  </si>
  <si>
    <t>p.m.</t>
  </si>
  <si>
    <t>2 2</t>
  </si>
  <si>
    <t>2 3</t>
  </si>
  <si>
    <t>DEPENSES</t>
  </si>
  <si>
    <t>1 1</t>
  </si>
  <si>
    <t>Stagiaires</t>
  </si>
  <si>
    <t>TOTAL DU CHAPITRE 1 1</t>
  </si>
  <si>
    <t>Frais de missions, de déplacements et autres dépenses accessoires</t>
  </si>
  <si>
    <t>Service médical</t>
  </si>
  <si>
    <t>Cours de langues, recyclage et perfectionnement professionnel</t>
  </si>
  <si>
    <t>Papeterie et fournitures de bureau</t>
  </si>
  <si>
    <t>2 3 2</t>
  </si>
  <si>
    <t>Affranchissement de correspondance et frais de port</t>
  </si>
  <si>
    <t xml:space="preserve">Ce crédit est destiné à couvrir les dépenses relatives aux stages administratifs accessibles à des jeunes étudiants. Les dépenses comprennent les indemnités et cotisations sociales pour les stagiaires, les frais relatifs aux déplacements effectués au cours des stages et les frais de voyage en début et en fin de stage ou de séjour.
</t>
  </si>
  <si>
    <t>Information, communication et publication</t>
  </si>
  <si>
    <t>Autres services externes pour le traitement des données</t>
  </si>
  <si>
    <r>
      <t>Agents tempo</t>
    </r>
    <r>
      <rPr>
        <b/>
        <i/>
        <sz val="9"/>
        <rFont val="Arial"/>
        <family val="2"/>
      </rPr>
      <t>raires occupant un emploi prévu au tableau des effectifs</t>
    </r>
  </si>
  <si>
    <t>Intérimaires</t>
  </si>
  <si>
    <t xml:space="preserve">Ce crédit est destiné à couvrir le recours à du personnel intérimaire.
</t>
  </si>
  <si>
    <t>Ce crédit est destiné à couvrir les dépenses relatives à la formation générale et linguistique visant à améliorer les compétences du personnel et la performance de l'Agence notamment le recours à des experts dans l'identification des besoins, la conception, l'élaboration, l'animation, l'évaluation des formations organisées sous forme de cours, séminaires ou conférences, les dépenses exposées dans ce cadre par les formateurs (frais de voyage et de séjour, support pédagogique), les dépenses liées aux aspects pratiques et logistiques de l'organisation des cours (location de locaux, location de matériel de formation, transport, rafraîchissements et nourriture).</t>
  </si>
  <si>
    <t>INFRASTRUCTURE ET DEPENSES DE FONCTIONNEMENT</t>
  </si>
  <si>
    <t xml:space="preserve">Ce crédit est destiné à couvrir l'achat, la location, l'installation et la maintenance d'applications informatiques.  Ce crédit est aussi destiné à couvrir le recours à des prestataires externes pour le développement d'application informatiques (y inclus les étude de faisabilité, analyses, programmation, mise en oeuvre,...).
</t>
  </si>
  <si>
    <t>Frais bancaires et autres frais financiers</t>
  </si>
  <si>
    <t xml:space="preserve">Ce crédit est destiné à couvrir les frais bancaires et autres frais financiers
</t>
  </si>
  <si>
    <t xml:space="preserve">Lignes </t>
  </si>
  <si>
    <t xml:space="preserve">Ce crédit est destiné à couvrir les dépenses d'affranchissement et de port de la correspondance,les services de courrier express, l'envoi de colis postaux et autres effectués par air, mer et chemin de fer ainsi que les services prévus dans le cadre du SLA avec l'OIB notamment le service de courrier interne de la Commission.
</t>
  </si>
  <si>
    <t>TOTAL DU TITRE III</t>
  </si>
  <si>
    <t>DEPENSES LIEES A LA GESTION DES PROGRAMMES</t>
  </si>
  <si>
    <t xml:space="preserve">Ce crédit est destiné à couvrir les frais d'organisation ou de participation à des réunions, conférences, séminaires avec des bénéficiaires ou des coordinateurs de projets ainsi que le recours à des experts orateurs pour ces évènements organisés dans le cadre des activités opérationnelles de l'Agence.
</t>
  </si>
  <si>
    <t xml:space="preserve">Ce crédit est destiné à couvrir les frais de traduction exposés par l'Agence dans le cadre de ses activités opérationnelles notamment la traduction d'appels, de guide programmes, d'étude.  Ce crédit couvre également le recours à des interprètes lors de l'organisation de réunions ou conférences.
</t>
  </si>
  <si>
    <t>DEPENSES DE PERSONNEL</t>
  </si>
  <si>
    <t>REMUNERATIONS, INDEMNITES ET CHARGES</t>
  </si>
  <si>
    <t>Agents temporaires - salaires, indemnités, allocations et charges</t>
  </si>
  <si>
    <t>Agents contractuels</t>
  </si>
  <si>
    <t>Agents contractuels - salaires, indemnités, allocations et charges</t>
  </si>
  <si>
    <t>Fonctionnaires mis à disposition</t>
  </si>
  <si>
    <t xml:space="preserve">Ce crédit est destiné à couvrir les traitements de base des agents temporaires de l'Agence ainsi que les diverses allocations et indemnités comprenant les allocations pour congé parental, les allocations de foyer, les allocations pour enfants à charge, les allocations scolaires, les allocations de naissance et décès, les indemnités de management, indemnités de fonction, les indemnités journalières, les indemnités d'installation et de réinstallation à l'occasion de l'entrée en fonction ou du départ, les indemnités en cas de ruture de contrat, les frais de voyage à l'occasion de l'entrée en fonction ou du départ, les frais de voyage à l'occasion du congé annuel, les coefficiants correcteurs, les incidences des adaptations éventuelles des rémunérations décidées par le Conseil en cours d'exercice.  Ce crédit est également destiné à couvrir la quote-part patronale des cotisations sociales des agents temporaires comprenant: l'assurance contre les risques de maladie, d'invalidité, d'accident, de chômage, pension.
</t>
  </si>
  <si>
    <t xml:space="preserve">Ce crédit est destiné à couvrir les traitements de base des agents contractuels de l'Agence ainsi que les diverses allocations et indemnités comprenant les allocations pour congé parental, les allocations de foyer, les allocations pour enfants à charge, les allocations scolaires, les allocations de naissance et décès, les indemnités journalières, les indemnités d'installation et de réinstallation à l'occasion de l'entrée en fonction ou du départ, les indemnités en cas de ruture de contrat, les frais de voyage à l'occasion de l'entrée en fonction ou du départ, les frais de voyage à l'occasion du congé annuel, les coefficiants correcteurs, les incidences des adaptations éventuelles des rémunérations décidées par le Conseil en cours d'exercice.  Ce crédit est également destiné à couvrir la quote-part patronale des cotisations sociales des agents contractuels comprenant: l'assurance contre les risques de maladie, d'invalidité, d'accident, de chômage, pension.
</t>
  </si>
  <si>
    <t xml:space="preserve">Ce crédit est destiné à couvrir rémunérations, allocations, indemnités et charges relatives à la mise à disposition à l'Agence de fonctionnaires européens en stage à la Commission.
</t>
  </si>
  <si>
    <t>Fonctionnaires et experts nationaux ou internationaux de même qu'agents du secteur privé détachés temporairement à l'Agence</t>
  </si>
  <si>
    <t xml:space="preserve">Ce crédit est destiné à couvrir les dépenses relatives au détachement et à l'affectation provisoire à l'Agence de fonctionnaires nationaux ou internationaux et d'autres experts.
</t>
  </si>
  <si>
    <t>Autre personnel externe</t>
  </si>
  <si>
    <t>DEVELOPPEMENT PROFESSIONNEL ET DEPENSES SOCIALES</t>
  </si>
  <si>
    <t>DEPENSES DE SUPPORT AUX PROGRAMMES</t>
  </si>
  <si>
    <t>Ce crédit est destiné à couvrir les frais encourus par personnel de l'Agence dans le cadre de missions de développement professionnel notamment les frais de transport y compris les frais accessoires à l'établissement des titres de transport et des réservations, les frais d'hébergement, le paiement des indemnités journalières ainsi que les frais accessoires ou exceptionnels.</t>
  </si>
  <si>
    <t>Dépenses sociales</t>
  </si>
  <si>
    <t>Missions</t>
  </si>
  <si>
    <t>Gestion administrative du personnel</t>
  </si>
  <si>
    <t>Missions administratives</t>
  </si>
  <si>
    <t>Représentation et réunions internes</t>
  </si>
  <si>
    <t>Frais de représentation, réunions internes et évènements</t>
  </si>
  <si>
    <t xml:space="preserve">Ce crédit est destiné à couvrir les dépenses encourues par le personnel dans le cadre d'activités de représentation de l'Agence vis-à-vis de l'extérieur, les frais divers liés à l'organisation de réunions internes, les dépenses liées à l'organisation d'activités destinées à promouvoir les relations sociales entre les agents et les actions de reconnaissance envers les agents.
</t>
  </si>
  <si>
    <t>Développement professionnel et missions</t>
  </si>
  <si>
    <t>Gestion du personnel</t>
  </si>
  <si>
    <t>Ce crédit est destiné à couvrir le coût du SLA du Service Medical comprenant les frais de visites médicales, de gestion des dossiers médicaux et des certificats, des visites de contrôles, des interventions psycho-sociales.</t>
  </si>
  <si>
    <t>Mobilité</t>
  </si>
  <si>
    <t>Services sociaux et autres interventions</t>
  </si>
  <si>
    <t xml:space="preserve">Ce crédit est destiné à couvrir la quote part de l'employeur aux centres de la petite enfance, crèches et garderie et transport scolaire,  l'intervention de l'Agence dans les frais encourus par les agents pour des activités telles que l'aide familiale.
</t>
  </si>
  <si>
    <t xml:space="preserve">Ce crédit est destiné à couvrir le coût du SLA avec le PMO pour la gestion administrative du personnel de l'Agence comprenant le calcul des salaires, la fixation des droits, la préparation de la liquidation des frais de missions.  Ce crédit est également destiné à couvrir les frais de recrutement,de sélection et de convocation comprenant le remboursement des frais de voyage des candidats, les frais de visites médicales d'embauche.
</t>
  </si>
  <si>
    <t>DEPENSES D'IMMEUBLES</t>
  </si>
  <si>
    <t>Loyers/usufruits et frais accessoires</t>
  </si>
  <si>
    <t xml:space="preserve">Ce crédit est destiné à couvrir les loyers, les redevances emphytéotiques et les frais accessoires relatifs aux immeubles ou parties d'immeubles occupés.
</t>
  </si>
  <si>
    <t>Loyers et charges</t>
  </si>
  <si>
    <t>DEPENSES DE TECHNOLOGIE DE l'INFORMATION ET DE LA COMMUNICATION (TIC)</t>
  </si>
  <si>
    <t xml:space="preserve">Ce crédit couvre l'intervention de l'Agence dans les frais d'abonnement des agents aux transports publics. Ce crédit est également destiné à couvrir les dépenses encourues par l'Agence en vue de faciliter les déplacements entre les bâtiments des institutions (SLA OIB).
</t>
  </si>
  <si>
    <t>Charges financières, juridiques et légales</t>
  </si>
  <si>
    <t xml:space="preserve">Ce crédit est destiné à couvrir l'achat, l'installation, la location, la maintenance et la réparation de matériel informatique pour le traitement de données tels que les ordinateurs, les serveurs, les périphériques, le matériel de connection, le matériel de télécommunication, les copieurs...
</t>
  </si>
  <si>
    <t>Applications informatiques</t>
  </si>
  <si>
    <t>Équipement de traitement de données et de télécommunication</t>
  </si>
  <si>
    <t>Autres services IT et Telecom</t>
  </si>
  <si>
    <t>Mobilier, Matériel et installations techniques</t>
  </si>
  <si>
    <t xml:space="preserve">Achat, location, entretien et réparation de mobilier, matériel et installations techniques </t>
  </si>
  <si>
    <t xml:space="preserve">Ce crédit est destiné à couvrir l'achat, l'installation, la location, l'entretien et la réparation de mobilier, d'équipement, de matériel et installations techniques et  notamment le mobilier de bureau, le mobilier ergonomique, les rayonnages, le mobilier de bibliothèque et autre mobilier spécialisé, le matériel audiovisuel, le matériel de cantine, le matériel pour les espaces collectifs. 
</t>
  </si>
  <si>
    <t xml:space="preserve">Ce crédit est destiné à couvrir l'achat de papier et enveloppes, de cartouche pour fax et imprimantes, de petit matériel et fournitures de bureau.  Ce crédit est également destiné à couvrir l'achat de tenues de service et vêtements de travail.
</t>
  </si>
  <si>
    <t>Frais de manutention et déménagements</t>
  </si>
  <si>
    <t>BIENS MEUBLES ET DEPENSES DE FONCTIONNEMENT COURANT</t>
  </si>
  <si>
    <t xml:space="preserve">Ce crédit est destiné à couvrir le recours à des spécialistes externes en informatique (opérateurs, informaticiens, ingénieurs-système, etc.).  Il est également destiné à couvrir les frais d'abonnement et redevances de télécommunication,  les frais encourus pour les prestations de services fournies par les DG DIGIT, BUDG dans le cadre des SLA.
</t>
  </si>
  <si>
    <t>Fournitures de bureau et frais de correspondance</t>
  </si>
  <si>
    <t xml:space="preserve">Aménagement des locaux </t>
  </si>
  <si>
    <t>Aménagement des locaux et autres dépenses</t>
  </si>
  <si>
    <t>Ce crédit est destiné à couvrir l'exécution de travaux d'aménagement des locaux tels que les modifications de cloisonnement, les dépenses de matériel lié à ces aménagements, les dépenses de conseil et d'assistance technique en matière d'immeuble, les frais liés à l'établissement d'états des lieux.</t>
  </si>
  <si>
    <t xml:space="preserve">Ce crédit est destiné à couvrir les frais de consommation d'eau, de gaz, d'électricité et de chauffage, les primes d'assurances afférentes aux immeubles ou parties d'immeubles occupés par l'Agence, les frais d'entretien et de maintenance des immeubles calculés d'après les contrats en cours/SLA avec les services de la Commission (ex: entretien et réparation des locaux, ascenseurs, conditionnement d'air,système de chauffage, nettoyages périodique, fournitures d'entretien, traitement des déchets), les frais de gardiennage, surveillance, contrôle d'accès et autres services y afférents calculés d'après les contrats en cours/SLA avec les services de la Commission, les dépenses relatives à l'hygiène et à la sécurité des personnes sur le lieu de travail calculés d'après les contrats en cours/SLA avec les services de la Commission (ex: frais de contrôle et de maintenance des dispositifs de sécurité et de lutte contre l'incendie, conseils et interventions préventives, interventions d'urgence, contrôle alimentaires), les taxes, les autres dépenses courantes en matière d'immeubles non spécialement prévues.
</t>
  </si>
  <si>
    <t>Charges relatives aux immeubles</t>
  </si>
  <si>
    <t>Acquisition et conservations d'informations</t>
  </si>
  <si>
    <t>Frais de contentieux, dommage et intérêts</t>
  </si>
  <si>
    <t>Ce crédit est destiné à couvrir les frais résultant de pré-contentieux, de litiges, du recours à la médiation et du recours à l'assistance d'avocats ou autres experts en qualité de conseil.  Ce crédit est également destiné à couvrir les dépens qui peuvent être mis à charge de l'Agence par la Cour de justice ou par d'autres juridictions, les dépenses à charge par l'Agence au titre de dommages et intérêts ainsi que les dépenses découlant de la mise en jeu de sa responsabilité civile et concernant des affaires de personnel ou de fonctionnement administratif.</t>
  </si>
  <si>
    <t>Bibliothèque, abonnement à des publication, acquisition d'information et archivage de documents</t>
  </si>
  <si>
    <t>Ce crédit est destiné à couvrir l'achat de livres, de publications spécialisées, les frais d'abonnements à des journaux et périodiques, à des agences de presse, à des publications en ligne, les frais d'inscription à des associations professionnelles, les frais d'accès à des bases de données spécialisées, les frais d'études.  Ce crédits est également destiné à couvrir les dépenses d'archivage et de conservation des documents.</t>
  </si>
  <si>
    <t xml:space="preserve">Ce crédit est destiné à couvrir les frais d'information, de communication et de publication notamment l'organisation d'Infodays, la publication d'études, la production, la diffusion et le stockage de brochures et de matériel promotionnel, le développement du site internet,...
</t>
  </si>
  <si>
    <t>Assurances et autres dépenses diverses de fonctionnement courant</t>
  </si>
  <si>
    <t>RECETTES</t>
  </si>
  <si>
    <t>SUBVENTION DE L'UNION EUROPÉENNE</t>
  </si>
  <si>
    <t>Contribution des programmes</t>
  </si>
  <si>
    <t>Contribution d' "Erasmus +", programme de l'Union Européenne dans les domaines de l'éducation, la formation, la jeunesse et le sport, au budget de fonctionnement de l'Agence Exécutive (DG EAC)</t>
  </si>
  <si>
    <t>Contribution du FED</t>
  </si>
  <si>
    <t>Contribution du Fonds européen de développement (FED)</t>
  </si>
  <si>
    <t>RECETTES DIVERSES</t>
  </si>
  <si>
    <t>PRODUIT DE LA VENTE OU DE LA LOCATION DE BIENS MEUBLES ET IMMEUBLES</t>
  </si>
  <si>
    <t>Produit de la vente ou de la location de biens meubles et immeubles</t>
  </si>
  <si>
    <t>RECETTES ET INDEMNISATION DE SERVICES FOURNIS À TITRE ONÉREUX</t>
  </si>
  <si>
    <t>Recettes et indemnisation de services fournis à titre onéreux</t>
  </si>
  <si>
    <t>REMBOURSEMENT DE DÉPENSES DIVERSES</t>
  </si>
  <si>
    <t>Remboursement de dépenses diverses</t>
  </si>
  <si>
    <t>TOTAL GÉNÉRAL</t>
  </si>
  <si>
    <t>Total de l'article 111</t>
  </si>
  <si>
    <t>TOTAL DU CHAPITRE 31</t>
  </si>
  <si>
    <t>Réunions</t>
  </si>
  <si>
    <t>traduction et interprétation</t>
  </si>
  <si>
    <t>Total article 112</t>
  </si>
  <si>
    <t>TOTAL CHAPITRE 1 1</t>
  </si>
  <si>
    <t>TOTAL TITRE I</t>
  </si>
  <si>
    <t>TOTAL CHAPITRE 2 1</t>
  </si>
  <si>
    <t>TOTAL CHAPITRE 2 2</t>
  </si>
  <si>
    <t>TOTAL CHAPITRE 2 3</t>
  </si>
  <si>
    <t>TOTAL TITRE II</t>
  </si>
  <si>
    <t>Total article 111</t>
  </si>
  <si>
    <t>Total article 113</t>
  </si>
  <si>
    <t>Total article 121</t>
  </si>
  <si>
    <t>Total article 122</t>
  </si>
  <si>
    <t>Total article 123</t>
  </si>
  <si>
    <t>Total article 124</t>
  </si>
  <si>
    <t>TOTAL CHAPITRE 1 2</t>
  </si>
  <si>
    <t>Total article 211</t>
  </si>
  <si>
    <t>Total article 212</t>
  </si>
  <si>
    <t>Total article 221</t>
  </si>
  <si>
    <t>Total article 222</t>
  </si>
  <si>
    <t>Total article 232</t>
  </si>
  <si>
    <t>Total article 231</t>
  </si>
  <si>
    <t>Ce crédit est destiné à couvrir les primes d'assurances notamment les assurances responsabilité civile, explotation, missions…les coûts de publication des budgets et comptes annuels.</t>
  </si>
  <si>
    <t>Total article 233</t>
  </si>
  <si>
    <t>Total article 234</t>
  </si>
  <si>
    <t>Total article 235</t>
  </si>
  <si>
    <t>TOTAL CHAPITRE 23</t>
  </si>
  <si>
    <t>Total article 311</t>
  </si>
  <si>
    <t>Total article 312</t>
  </si>
  <si>
    <t>Total article 313</t>
  </si>
  <si>
    <t>Audits</t>
  </si>
  <si>
    <t>Total article 314</t>
  </si>
  <si>
    <t>Total article 315</t>
  </si>
  <si>
    <t>Environnement TIC</t>
  </si>
  <si>
    <t>Informatique spécifique</t>
  </si>
  <si>
    <t xml:space="preserve">Ce crédit est destiné à couvrir les frais d'audits exposés par l'Agence dans le cadre de la gestion des programme
</t>
  </si>
  <si>
    <t>Ce crédit est destiné à couvrir les frais de missions du personnel de l'Agence exposés dans le cadre de la gestion des programmes notamment les frais de transport y compris les frais accessoires à l'établissement des titres de transport et des réservations, les frais d'hébergement, le paiement des indemnités journalières ainsi que les frais accessoires ou exceptionnels exposés pour l'exécution des missions.</t>
  </si>
  <si>
    <t>Total article 316</t>
  </si>
  <si>
    <t>Autres dépenses liées à la gestion des programmes</t>
  </si>
  <si>
    <t>Total article 317</t>
  </si>
  <si>
    <t>Contribution du programme d' "aide humanitaire" au budget de fonctionnement de l'Agence Exécutive afin de renforcer la capacité de l'Union à répondre aux crises humanitaires (DG ECHO)</t>
  </si>
  <si>
    <t xml:space="preserve">Ce crédit est destiné à couvrir les dépenses informatiques directement liées à la gestion des programmes.
</t>
  </si>
  <si>
    <t xml:space="preserve">Ce crédit est destiné à couvrir les autres dépenses directement liées à la gestion des programmes.
</t>
  </si>
  <si>
    <t>EUR 28</t>
  </si>
  <si>
    <t>EFTA</t>
  </si>
  <si>
    <t xml:space="preserve">Ce crédit est destiné à couvrir les frais de manutention et déménagement.
</t>
  </si>
  <si>
    <t>% à distribuer</t>
  </si>
  <si>
    <t>chap 31</t>
  </si>
  <si>
    <t>Autres dépenses liées à la gestion des programmes *</t>
  </si>
  <si>
    <t>Ce poste correspond à la subvention destinée à couvrir les dépenses de fonctionnement exposées par l'Agence du fait de sa participation à la gestion d'"Erasmus +" (programme de l'Union pour l'education, la formation, la Jeunesse et le Sport), de l'achèvement des programmes "LLP", "de coopération dans l'enseignement supérieur et l'enseignement et la formation professionnels", "Erasmus Mundus", "Jeunesse en action".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15.010601 de la section III “Commission” du budget général augmentée de la part correspondante des contributions des Etats de l'AELE, des éventuelles contributions des pays candidats, le cas échéant, des pays candidats potentiels des Balkans occidentaux participant aux programmes de l'Union, des contributions éventuelles de la Confédération Suisse.</t>
  </si>
  <si>
    <t>Ce poste correspond à la subvention destinée à couvrir les dépenses de fonctionnement exposées par l'Agence du fait de sa participation à la gestion du programme "Europe Creative", de l'achèvement des programmes "MEDIA 2007", "MEDIA Mundus", "Culture".Décision n°2013/776/UE de la Commission du 18 décembre 2013 (JO L 343 du 19/12/2013, p. 46) instituant l'Agence exécutive "Education, audiovisuel et culture" pour la gestion de l'action communautaire dansles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15.010602 de la section III “Commission” du budget général augmentée de la part correspondante des contributions des Etats de l'AELE, des contributions éventuelles de la Confédération Suisse,  des éventuelles contributions des pays relevant de la politique européenne de voisinage.</t>
  </si>
  <si>
    <t>Ce poste correspond à la subvention destinée à couvrir les dépenses de fonctionnement exposées par l'Agence du fait de sa participation à la gestion du programme "l'Europe pour les Citoyens", de l'achèvement du programme "l'Europe pour les Citoyens 2007-2013". Décision n°2005/56/CE de la Commission du 14 janvier 2005 (JO L 24 du 27.1.2005, p. 35) instituant l'Agence exécutive "Education, audiovisuel et culture" pour la gestion de l'action communautaire dansles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16.010601 de la section III “Commission” du budget général augmentée de la part correspondante des contributions éventuelles des pays candidats et des pays candidats potentiels des Balkans occidentaux.</t>
  </si>
  <si>
    <t>Ce poste correspond à la subvention destinée à couvrir les dépenses de fonctionnement exposées par l'Agence du fait de sa participation à la gestion de certaines actions du programme "Erasmus +" relevant de l'instrument de partenariat pour la cooperation avec les pays tiers ainsi que l'achèvement des actions relevant de l'instrument financier de coopération avec les pays industrialisés et les autres pays et territoires à revenus élevé.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19.010601 de la section III “Commission” du budget général.</t>
  </si>
  <si>
    <t>Ce poste correspond à la subvention destinée à couvrir les dépenses de fonctionnement exposées par l'Agence du fait de sa participation à la gestion de certaines actions du programme "Erasmus +" relevant du domaine de l'élargissement, à l'achèvement de certaines actions des programmes Jeunesse, Tempus, Erasmus Mundus auxquels participent les bénéficiaires de l'instrument d'aide de préadhésion.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22.010601 de la section III “Commission” du budget général.</t>
  </si>
  <si>
    <t>Ce poste correspond à la subvention destinée à couvrir les dépenses de fonctionnement exposées par l'Agence du fait de sa participation à la gestion de de la création d'uncorps volontaire européen d'aide humanitaire.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 poste 23.010601 de la section III “Commission” du budget général.</t>
  </si>
  <si>
    <t>Ce poste correspond à la contribution du FED destinée à couvrir les dépenses de fonctionnement exposées par l'Agence du fait de sa participation à la gestion d'actions relevant des neuvièmes et dixièmes Fonds européens de développement. Décision n°2013/776/UE de la Commission du 18 décembre 2013 (JO L 343 du 19/12/2013, p. 46) instituant l'Agence exécutive "Education, audiovisuel et culture" pour la gestion de l'action communautaire dansles domaines de l'éducation, de l'audiovisuel et de la culture - en application du règlement (CE) n°58/2003 du Conseil.</t>
  </si>
  <si>
    <t>Contribution de l'Instrument de Partenariat (PI) au budget de fonctionnement de l'Agence Exécutive afin de promouvoir la dimension internationale de l'enseignement supérieur et d'autres actions (FPI)</t>
  </si>
  <si>
    <t>PB 2015</t>
  </si>
  <si>
    <t>Ce poste correspond à la subvention destinée à couvrir les dépenses de fonctionnement exposées par l'Agence du fait de sa participation à la gestion de certaines actions du programme "Erasmus +" relevant des instruments financiers de cooperation et de de voisinage ainsi que l'achèvement des actions relevant des instruments financiers de coopération et de voisinage. Décision n°2013/776/UE de la Commission du 18 décembre 2013 (JO L 343 du 19/12/2013, p. 46) instituant l'Agence exécutive "Education, audiovisuel et culture" pour la gestion de l'action communautaire dans les domaines de l'éducation, de l'audiovisuel et de la culture - en application du règlement (CE) n°58/2003 du Conseil.  Conformément aux dispositions de cette décision, une subvention destinée à l'Agence est inscrite au budget général de l'Union Européenne. La recette inscrite correspond à la subvention prévue aux postes 21.010601 et 21.010602 de la section III “Commission” du budget général.</t>
  </si>
  <si>
    <t>Contribution d' "l'Europe pour les Citoyens ", programme de l'Union Européenne visant à promouvoir la citoyenneté européenne, au budget de fonctionnement de l'Agence Exécutive (DG HOME)</t>
  </si>
  <si>
    <t>Contribution d' "Europe Creative", programme de l'Union Européenne dans les domaines de l'audiovisuel et la culture, au budget de fonctionnement de l'Agence Exécutive (DG EAC + DG CNECT)</t>
  </si>
  <si>
    <t>Contribution du programme d' "aide de préadhésion" (IPA) au budget de fonctionnement de l'Agence Exécutive afin de promouvoir la dimension internationale de l'enseignement supérieur et d'autres actions (DG NEAR + DG EAC)</t>
  </si>
  <si>
    <t>Pays tiers/FED</t>
  </si>
  <si>
    <t>Exécution Budget 2015</t>
  </si>
  <si>
    <t>Budget 2016</t>
  </si>
  <si>
    <t>Contribution des "instruments de coopération au développement" (DCI) et "instrument européen de voisinage" (ENI) au budget de fonctionnement de l'Agence Exécutive afin de promouvoir la dimension internationale de l'enseignement supérieur et d'autres actions (DG DEVCO+DG NEAR + DG EAC)</t>
  </si>
  <si>
    <t>Budget initial 2017</t>
  </si>
  <si>
    <t>Transfert 1</t>
  </si>
  <si>
    <t>Budget après transfert</t>
  </si>
  <si>
    <t>Budget révisé juillet</t>
  </si>
  <si>
    <t>Révision 1</t>
  </si>
  <si>
    <t>Exécution budget 2016</t>
  </si>
  <si>
    <t>Budget révisé octobre 2017</t>
  </si>
  <si>
    <t>Révision 2</t>
  </si>
  <si>
    <t>Transfert 2</t>
  </si>
  <si>
    <t>Budget révisé décembre 2017</t>
  </si>
  <si>
    <t>Révision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</si>
</sst>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_ ;[Red]\-#,##0\ "/>
  </numFmts>
  <fonts count="19" x14ac:knownFonts="1">
    <font>
      <sz val="10"/>
      <name val="Arial"/>
    </font>
    <font>
      <sz val="10"/>
      <name val="Arial"/>
      <family val="2"/>
    </font>
    <font>
      <sz val="8"/>
      <name val="Arial"/>
      <family val="2"/>
    </font>
    <font>
      <b/>
      <sz val="10"/>
      <name val="Arial"/>
      <family val="2"/>
    </font>
    <font>
      <b/>
      <sz val="10"/>
      <name val="Arial"/>
      <family val="2"/>
    </font>
    <font>
      <sz val="12"/>
      <name val="Arial"/>
      <family val="2"/>
    </font>
    <font>
      <b/>
      <sz val="9"/>
      <name val="Arial"/>
      <family val="2"/>
    </font>
    <font>
      <sz val="9"/>
      <name val="Arial"/>
      <family val="2"/>
    </font>
    <font>
      <b/>
      <i/>
      <sz val="9"/>
      <name val="Arial"/>
      <family val="2"/>
    </font>
    <font>
      <b/>
      <i/>
      <sz val="9"/>
      <name val="Arial"/>
      <family val="2"/>
    </font>
    <font>
      <sz val="9"/>
      <name val="Arial"/>
      <family val="2"/>
    </font>
    <font>
      <sz val="10"/>
      <name val="Arial"/>
      <family val="2"/>
    </font>
    <font>
      <b/>
      <sz val="11"/>
      <name val="Arial"/>
      <family val="2"/>
    </font>
    <font>
      <sz val="11"/>
      <name val="Arial"/>
      <family val="2"/>
    </font>
    <font>
      <sz val="10"/>
      <name val="Arial"/>
      <family val="2"/>
    </font>
    <font>
      <b/>
      <sz val="8"/>
      <name val="Arial"/>
      <family val="2"/>
    </font>
    <font>
      <sz val="10"/>
      <color theme="1"/>
      <name val="Arial"/>
      <family val="2"/>
    </font>
    <font>
      <sz val="9"/>
      <color indexed="81"/>
      <name val="Tahoma"/>
      <charset val="1"/>
    </font>
    <font>
      <b/>
      <sz val="9"/>
      <color indexed="81"/>
      <name val="Tahoma"/>
      <charset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176">
    <xf numFmtId="0" fontId="0" fillId="0" borderId="0" xfId="0"/>
    <xf numFmtId="0" fontId="1" fillId="0" borderId="0" xfId="0" applyNumberFormat="1" applyFont="1" applyAlignment="1">
      <alignment wrapText="1"/>
    </xf>
    <xf numFmtId="0" fontId="0" fillId="0" borderId="0" xfId="0" applyNumberFormat="1" applyAlignment="1">
      <alignment wrapText="1"/>
    </xf>
    <xf numFmtId="0" fontId="7" fillId="0" borderId="1" xfId="0" applyNumberFormat="1" applyFont="1" applyBorder="1" applyAlignment="1">
      <alignment wrapText="1"/>
    </xf>
    <xf numFmtId="0" fontId="6" fillId="0" borderId="1" xfId="0" applyFont="1" applyBorder="1" applyAlignment="1">
      <alignment vertical="top" wrapText="1"/>
    </xf>
    <xf numFmtId="0" fontId="6" fillId="0" borderId="1" xfId="0" applyFont="1" applyBorder="1" applyAlignment="1">
      <alignment horizontal="right" vertical="top" wrapText="1"/>
    </xf>
    <xf numFmtId="0" fontId="9" fillId="0" borderId="1" xfId="0" applyFont="1" applyBorder="1" applyAlignment="1">
      <alignment horizontal="right" vertical="top" wrapText="1"/>
    </xf>
    <xf numFmtId="0" fontId="7" fillId="0" borderId="1" xfId="0" applyFont="1" applyBorder="1" applyAlignment="1">
      <alignment horizontal="right" vertical="top" wrapText="1"/>
    </xf>
    <xf numFmtId="0" fontId="7" fillId="0" borderId="1" xfId="0" applyFont="1" applyBorder="1" applyAlignment="1">
      <alignment wrapText="1"/>
    </xf>
    <xf numFmtId="0" fontId="7" fillId="0" borderId="2" xfId="0" applyFont="1" applyBorder="1" applyAlignment="1">
      <alignment horizontal="right" wrapText="1"/>
    </xf>
    <xf numFmtId="0" fontId="7" fillId="0" borderId="1" xfId="0" applyFont="1" applyBorder="1" applyAlignment="1">
      <alignment horizontal="right" wrapText="1"/>
    </xf>
    <xf numFmtId="0" fontId="7" fillId="0" borderId="1" xfId="0" applyFont="1" applyFill="1" applyBorder="1" applyAlignment="1">
      <alignment horizontal="left" vertical="top" wrapText="1"/>
    </xf>
    <xf numFmtId="0" fontId="7" fillId="0" borderId="1" xfId="0" applyFont="1" applyFill="1" applyBorder="1" applyAlignment="1" applyProtection="1">
      <alignment vertical="top" wrapText="1"/>
      <protection locked="0"/>
    </xf>
    <xf numFmtId="0" fontId="7" fillId="0" borderId="1" xfId="0" applyFont="1" applyBorder="1" applyAlignment="1">
      <alignment horizontal="left" vertical="top" wrapText="1"/>
    </xf>
    <xf numFmtId="0" fontId="0" fillId="0" borderId="0" xfId="0" applyNumberFormat="1" applyAlignment="1">
      <alignment horizontal="right" wrapText="1"/>
    </xf>
    <xf numFmtId="0" fontId="9" fillId="0" borderId="3" xfId="0" applyFont="1" applyBorder="1" applyAlignment="1">
      <alignment horizontal="right" vertical="top" wrapText="1"/>
    </xf>
    <xf numFmtId="0" fontId="6" fillId="0" borderId="3" xfId="0" applyFont="1" applyBorder="1" applyAlignment="1">
      <alignment horizontal="right" vertical="top" wrapText="1"/>
    </xf>
    <xf numFmtId="0" fontId="0" fillId="0" borderId="0" xfId="0" applyNumberFormat="1" applyAlignment="1">
      <alignment horizontal="left" wrapText="1"/>
    </xf>
    <xf numFmtId="0" fontId="0" fillId="0" borderId="0" xfId="0" applyNumberFormat="1" applyFill="1" applyAlignment="1">
      <alignment wrapText="1"/>
    </xf>
    <xf numFmtId="0" fontId="7" fillId="0" borderId="0" xfId="0" applyNumberFormat="1" applyFont="1" applyFill="1" applyBorder="1" applyAlignment="1">
      <alignment wrapText="1"/>
    </xf>
    <xf numFmtId="0" fontId="7" fillId="0" borderId="0" xfId="0" applyNumberFormat="1" applyFont="1" applyFill="1" applyAlignment="1">
      <alignment wrapText="1"/>
    </xf>
    <xf numFmtId="0" fontId="5" fillId="0" borderId="0" xfId="0" applyNumberFormat="1" applyFont="1" applyFill="1" applyBorder="1" applyAlignment="1">
      <alignment horizontal="center" wrapText="1"/>
    </xf>
    <xf numFmtId="0" fontId="4" fillId="0" borderId="4" xfId="0" applyNumberFormat="1"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Border="1" applyAlignment="1">
      <alignment horizontal="right" vertical="top" wrapText="1"/>
    </xf>
    <xf numFmtId="0" fontId="12" fillId="0" borderId="1" xfId="0" applyFont="1" applyBorder="1" applyAlignment="1">
      <alignment vertical="top" wrapText="1"/>
    </xf>
    <xf numFmtId="0" fontId="13" fillId="0" borderId="1" xfId="0" applyFont="1" applyBorder="1" applyAlignment="1">
      <alignment wrapText="1"/>
    </xf>
    <xf numFmtId="0" fontId="12" fillId="0" borderId="2" xfId="0" applyFont="1" applyBorder="1" applyAlignment="1">
      <alignment horizontal="right" wrapText="1"/>
    </xf>
    <xf numFmtId="0" fontId="13" fillId="0" borderId="0" xfId="0" applyNumberFormat="1" applyFont="1" applyAlignment="1">
      <alignment wrapText="1"/>
    </xf>
    <xf numFmtId="0" fontId="1" fillId="0" borderId="1" xfId="0" applyFont="1" applyBorder="1" applyAlignment="1">
      <alignment wrapText="1"/>
    </xf>
    <xf numFmtId="0" fontId="14" fillId="0" borderId="0" xfId="0" applyNumberFormat="1" applyFont="1" applyAlignment="1">
      <alignment wrapText="1"/>
    </xf>
    <xf numFmtId="0" fontId="10" fillId="0" borderId="1" xfId="0" applyFont="1" applyBorder="1" applyAlignment="1">
      <alignment horizontal="right" vertical="top" wrapText="1"/>
    </xf>
    <xf numFmtId="0" fontId="10" fillId="0" borderId="2" xfId="0" applyFont="1" applyBorder="1" applyAlignment="1">
      <alignment horizontal="left" vertical="top" wrapText="1"/>
    </xf>
    <xf numFmtId="0" fontId="11" fillId="0" borderId="0" xfId="0" applyNumberFormat="1" applyFont="1" applyAlignment="1">
      <alignment wrapText="1"/>
    </xf>
    <xf numFmtId="0" fontId="10" fillId="0" borderId="3" xfId="0" applyFont="1" applyBorder="1" applyAlignment="1">
      <alignment horizontal="right" vertical="top" wrapText="1"/>
    </xf>
    <xf numFmtId="0" fontId="10" fillId="0" borderId="1" xfId="0" applyFont="1" applyBorder="1" applyAlignment="1">
      <alignment horizontal="left" vertical="top" wrapText="1"/>
    </xf>
    <xf numFmtId="0" fontId="10" fillId="0" borderId="1" xfId="0" applyFont="1" applyFill="1" applyBorder="1" applyAlignment="1">
      <alignment horizontal="right" vertical="top" wrapText="1"/>
    </xf>
    <xf numFmtId="0" fontId="10" fillId="0" borderId="2" xfId="0" applyFont="1" applyFill="1" applyBorder="1" applyAlignment="1">
      <alignment horizontal="left" vertical="top" wrapText="1"/>
    </xf>
    <xf numFmtId="0" fontId="10" fillId="0" borderId="5" xfId="0" applyFont="1" applyBorder="1" applyAlignment="1">
      <alignment horizontal="right" vertical="top" wrapText="1"/>
    </xf>
    <xf numFmtId="0" fontId="8" fillId="0" borderId="1" xfId="0" applyFont="1" applyBorder="1" applyAlignment="1">
      <alignment horizontal="left" vertical="top" wrapText="1"/>
    </xf>
    <xf numFmtId="3" fontId="6" fillId="0" borderId="1" xfId="0" applyNumberFormat="1" applyFont="1" applyBorder="1" applyAlignment="1">
      <alignment wrapText="1"/>
    </xf>
    <xf numFmtId="3" fontId="7" fillId="0" borderId="1" xfId="0" applyNumberFormat="1" applyFont="1" applyBorder="1" applyAlignment="1">
      <alignment vertical="top" wrapText="1"/>
    </xf>
    <xf numFmtId="3" fontId="7" fillId="0" borderId="1" xfId="0" applyNumberFormat="1" applyFont="1" applyFill="1" applyBorder="1" applyAlignment="1">
      <alignment horizontal="left" vertical="top" wrapText="1"/>
    </xf>
    <xf numFmtId="0" fontId="7" fillId="0" borderId="2" xfId="0" applyFont="1" applyBorder="1" applyAlignment="1">
      <alignment horizontal="left" vertical="top" wrapText="1"/>
    </xf>
    <xf numFmtId="0" fontId="3" fillId="0" borderId="1" xfId="0" applyFont="1" applyBorder="1" applyAlignment="1">
      <alignment vertical="top" wrapText="1"/>
    </xf>
    <xf numFmtId="0" fontId="8" fillId="0" borderId="1" xfId="0" applyFont="1" applyBorder="1" applyAlignment="1">
      <alignment horizontal="right" vertical="top" wrapText="1"/>
    </xf>
    <xf numFmtId="0" fontId="3" fillId="0" borderId="1" xfId="0" applyNumberFormat="1" applyFont="1" applyFill="1" applyBorder="1" applyAlignment="1">
      <alignment horizontal="center" vertical="center" wrapText="1"/>
    </xf>
    <xf numFmtId="0" fontId="3" fillId="0" borderId="2" xfId="0" applyFont="1" applyBorder="1" applyAlignment="1">
      <alignment horizontal="right" wrapText="1"/>
    </xf>
    <xf numFmtId="0" fontId="3" fillId="0" borderId="3" xfId="0" applyFont="1" applyBorder="1" applyAlignment="1">
      <alignment vertical="top" wrapText="1"/>
    </xf>
    <xf numFmtId="0" fontId="8" fillId="0" borderId="6" xfId="0" applyFont="1" applyBorder="1" applyAlignment="1">
      <alignment horizontal="left" vertical="top" wrapText="1"/>
    </xf>
    <xf numFmtId="0" fontId="7" fillId="0" borderId="3" xfId="0" applyFont="1" applyBorder="1" applyAlignment="1">
      <alignment horizontal="left" vertical="top" wrapText="1"/>
    </xf>
    <xf numFmtId="0" fontId="8" fillId="0" borderId="2" xfId="0" applyFont="1" applyBorder="1" applyAlignment="1">
      <alignment horizontal="left" vertical="top" wrapText="1"/>
    </xf>
    <xf numFmtId="0" fontId="3" fillId="0" borderId="6" xfId="0" applyFont="1" applyBorder="1" applyAlignment="1">
      <alignment horizontal="left" vertical="top" wrapText="1"/>
    </xf>
    <xf numFmtId="0" fontId="8" fillId="0" borderId="7" xfId="0" applyFont="1" applyBorder="1" applyAlignment="1">
      <alignment horizontal="left" vertical="top" wrapText="1"/>
    </xf>
    <xf numFmtId="0" fontId="7" fillId="0" borderId="6" xfId="0" applyFont="1" applyBorder="1" applyAlignment="1">
      <alignment horizontal="left" vertical="top" wrapText="1"/>
    </xf>
    <xf numFmtId="0" fontId="8" fillId="0" borderId="3" xfId="0" applyFont="1" applyBorder="1" applyAlignment="1">
      <alignment horizontal="left" vertical="top" wrapText="1"/>
    </xf>
    <xf numFmtId="0" fontId="3"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5" fillId="0" borderId="0" xfId="0" applyNumberFormat="1" applyFont="1" applyFill="1" applyAlignment="1">
      <alignment horizontal="center" wrapText="1"/>
    </xf>
    <xf numFmtId="0" fontId="3" fillId="0" borderId="1" xfId="0" applyNumberFormat="1" applyFont="1" applyBorder="1" applyAlignment="1">
      <alignment horizontal="right" vertical="top" wrapText="1"/>
    </xf>
    <xf numFmtId="0" fontId="8" fillId="0" borderId="1" xfId="0" applyNumberFormat="1" applyFont="1" applyBorder="1" applyAlignment="1">
      <alignment horizontal="right" vertical="top" wrapText="1"/>
    </xf>
    <xf numFmtId="0" fontId="7" fillId="0" borderId="2" xfId="0" applyNumberFormat="1" applyFont="1" applyBorder="1" applyAlignment="1">
      <alignment horizontal="right" wrapText="1"/>
    </xf>
    <xf numFmtId="0" fontId="6" fillId="0" borderId="2" xfId="0" applyNumberFormat="1" applyFont="1" applyBorder="1" applyAlignment="1">
      <alignment horizontal="right" wrapText="1"/>
    </xf>
    <xf numFmtId="0" fontId="7" fillId="0" borderId="1" xfId="0" applyNumberFormat="1" applyFont="1" applyBorder="1" applyAlignment="1">
      <alignment horizontal="right" vertical="top" wrapText="1"/>
    </xf>
    <xf numFmtId="0" fontId="7" fillId="0" borderId="2" xfId="0" applyNumberFormat="1" applyFont="1" applyBorder="1" applyAlignment="1">
      <alignment horizontal="left" vertical="top" wrapText="1"/>
    </xf>
    <xf numFmtId="0" fontId="7" fillId="0" borderId="2" xfId="0" applyNumberFormat="1" applyFont="1" applyFill="1" applyBorder="1" applyAlignment="1">
      <alignment horizontal="left" vertical="top" wrapText="1"/>
    </xf>
    <xf numFmtId="0" fontId="7" fillId="0" borderId="3" xfId="0" applyNumberFormat="1" applyFont="1" applyBorder="1" applyAlignment="1">
      <alignment horizontal="left" vertical="top" wrapText="1"/>
    </xf>
    <xf numFmtId="0" fontId="7" fillId="0" borderId="3" xfId="0" applyNumberFormat="1" applyFont="1" applyBorder="1" applyAlignment="1">
      <alignment horizontal="right" vertical="top" wrapText="1"/>
    </xf>
    <xf numFmtId="0" fontId="3" fillId="0" borderId="9" xfId="0" applyNumberFormat="1" applyFont="1" applyBorder="1" applyAlignment="1">
      <alignment wrapText="1"/>
    </xf>
    <xf numFmtId="0" fontId="0" fillId="0" borderId="5" xfId="0" applyNumberFormat="1" applyFill="1" applyBorder="1" applyAlignment="1">
      <alignment horizontal="right" wrapText="1"/>
    </xf>
    <xf numFmtId="0" fontId="0" fillId="0" borderId="3" xfId="0" applyNumberFormat="1" applyFill="1" applyBorder="1" applyAlignment="1">
      <alignment horizontal="right" wrapText="1"/>
    </xf>
    <xf numFmtId="0" fontId="0" fillId="0" borderId="10" xfId="0" applyNumberFormat="1" applyBorder="1" applyAlignment="1">
      <alignment horizontal="right" wrapText="1"/>
    </xf>
    <xf numFmtId="0" fontId="0" fillId="0" borderId="8" xfId="0" applyNumberFormat="1" applyBorder="1" applyAlignment="1">
      <alignment horizontal="right" wrapText="1"/>
    </xf>
    <xf numFmtId="3" fontId="0" fillId="0" borderId="8" xfId="0" applyNumberFormat="1" applyBorder="1" applyAlignment="1">
      <alignment horizontal="right" vertical="top"/>
    </xf>
    <xf numFmtId="3" fontId="11" fillId="0" borderId="8" xfId="0" applyNumberFormat="1" applyFont="1" applyBorder="1" applyAlignment="1">
      <alignment horizontal="right" vertical="top"/>
    </xf>
    <xf numFmtId="3" fontId="0" fillId="0" borderId="8" xfId="0" applyNumberFormat="1" applyBorder="1" applyAlignment="1">
      <alignment horizontal="right" wrapText="1"/>
    </xf>
    <xf numFmtId="3" fontId="0" fillId="0" borderId="1" xfId="0" applyNumberFormat="1" applyBorder="1" applyAlignment="1">
      <alignment horizontal="right" wrapText="1"/>
    </xf>
    <xf numFmtId="3" fontId="3" fillId="0" borderId="0" xfId="0" applyNumberFormat="1" applyFont="1" applyBorder="1" applyAlignment="1">
      <alignment horizontal="right" wrapText="1"/>
    </xf>
    <xf numFmtId="3" fontId="0" fillId="0" borderId="0" xfId="0" applyNumberFormat="1" applyFill="1" applyBorder="1" applyAlignment="1">
      <alignment horizontal="right" wrapText="1"/>
    </xf>
    <xf numFmtId="3" fontId="11" fillId="0" borderId="8" xfId="0" applyNumberFormat="1" applyFont="1" applyBorder="1" applyAlignment="1">
      <alignment horizontal="right" vertical="top" wrapText="1"/>
    </xf>
    <xf numFmtId="3" fontId="11" fillId="0" borderId="8" xfId="0" applyNumberFormat="1" applyFont="1" applyFill="1" applyBorder="1" applyAlignment="1">
      <alignment horizontal="right" vertical="top" wrapText="1"/>
    </xf>
    <xf numFmtId="3" fontId="11" fillId="0" borderId="1" xfId="0" applyNumberFormat="1" applyFont="1" applyFill="1" applyBorder="1" applyAlignment="1">
      <alignment horizontal="right" vertical="top" wrapText="1"/>
    </xf>
    <xf numFmtId="3" fontId="0" fillId="0" borderId="10" xfId="0" applyNumberFormat="1" applyBorder="1" applyAlignment="1">
      <alignment horizontal="right" wrapText="1"/>
    </xf>
    <xf numFmtId="3" fontId="11" fillId="0" borderId="10" xfId="0" applyNumberFormat="1" applyFont="1" applyFill="1" applyBorder="1" applyAlignment="1">
      <alignment horizontal="right" vertical="top" wrapText="1"/>
    </xf>
    <xf numFmtId="0" fontId="3" fillId="0" borderId="9" xfId="0" applyNumberFormat="1" applyFont="1" applyFill="1" applyBorder="1" applyAlignment="1">
      <alignment wrapText="1"/>
    </xf>
    <xf numFmtId="0" fontId="0" fillId="0" borderId="10" xfId="0" applyNumberFormat="1" applyFill="1" applyBorder="1" applyAlignment="1">
      <alignment horizontal="right" wrapText="1"/>
    </xf>
    <xf numFmtId="0" fontId="0" fillId="0" borderId="8" xfId="0" applyNumberFormat="1" applyFill="1" applyBorder="1" applyAlignment="1">
      <alignment horizontal="right" wrapText="1"/>
    </xf>
    <xf numFmtId="3" fontId="0" fillId="0" borderId="8" xfId="0" applyNumberFormat="1" applyFill="1" applyBorder="1" applyAlignment="1">
      <alignment horizontal="right" vertical="top"/>
    </xf>
    <xf numFmtId="3" fontId="0" fillId="0" borderId="8" xfId="0" applyNumberFormat="1" applyFill="1" applyBorder="1" applyAlignment="1">
      <alignment horizontal="right" wrapText="1"/>
    </xf>
    <xf numFmtId="3" fontId="11" fillId="0" borderId="8" xfId="0" applyNumberFormat="1" applyFont="1" applyFill="1" applyBorder="1" applyAlignment="1">
      <alignment horizontal="right" wrapText="1"/>
    </xf>
    <xf numFmtId="3" fontId="11" fillId="0" borderId="1" xfId="0" applyNumberFormat="1" applyFont="1" applyFill="1" applyBorder="1" applyAlignment="1">
      <alignment horizontal="right" wrapText="1"/>
    </xf>
    <xf numFmtId="3" fontId="0" fillId="0" borderId="1" xfId="0" applyNumberFormat="1" applyFill="1" applyBorder="1" applyAlignment="1">
      <alignment horizontal="right" wrapText="1"/>
    </xf>
    <xf numFmtId="3" fontId="13" fillId="0" borderId="1" xfId="0" applyNumberFormat="1" applyFont="1" applyFill="1" applyBorder="1" applyAlignment="1">
      <alignment horizontal="right" wrapText="1"/>
    </xf>
    <xf numFmtId="3" fontId="3" fillId="0" borderId="0"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3" fontId="0" fillId="0" borderId="10" xfId="0" applyNumberFormat="1" applyFill="1" applyBorder="1" applyAlignment="1">
      <alignment horizontal="right" wrapText="1"/>
    </xf>
    <xf numFmtId="3" fontId="13" fillId="0" borderId="8" xfId="0" applyNumberFormat="1" applyFont="1" applyFill="1" applyBorder="1" applyAlignment="1">
      <alignment horizontal="right" wrapText="1"/>
    </xf>
    <xf numFmtId="3" fontId="0" fillId="0" borderId="0" xfId="0" applyNumberFormat="1" applyFill="1" applyAlignment="1">
      <alignment wrapText="1"/>
    </xf>
    <xf numFmtId="4" fontId="2" fillId="0" borderId="0" xfId="0" applyNumberFormat="1" applyFont="1" applyAlignment="1">
      <alignment wrapText="1"/>
    </xf>
    <xf numFmtId="164" fontId="2" fillId="0" borderId="0" xfId="0" applyNumberFormat="1" applyFont="1" applyAlignment="1">
      <alignment wrapText="1"/>
    </xf>
    <xf numFmtId="3" fontId="0" fillId="0" borderId="11" xfId="0" applyNumberFormat="1" applyBorder="1" applyAlignment="1">
      <alignment horizontal="right" wrapText="1"/>
    </xf>
    <xf numFmtId="0" fontId="3" fillId="0" borderId="8" xfId="0" applyNumberFormat="1" applyFont="1" applyBorder="1" applyAlignment="1">
      <alignment wrapText="1"/>
    </xf>
    <xf numFmtId="3" fontId="11" fillId="0" borderId="10" xfId="0" applyNumberFormat="1" applyFont="1" applyBorder="1" applyAlignment="1">
      <alignment horizontal="right" vertical="top" wrapText="1"/>
    </xf>
    <xf numFmtId="0" fontId="4" fillId="0" borderId="1" xfId="0" applyNumberFormat="1" applyFont="1" applyFill="1" applyBorder="1" applyAlignment="1">
      <alignment horizontal="center" vertical="center" wrapText="1"/>
    </xf>
    <xf numFmtId="0" fontId="7" fillId="0" borderId="1" xfId="0" applyFont="1" applyBorder="1" applyAlignment="1">
      <alignment vertical="top" wrapText="1"/>
    </xf>
    <xf numFmtId="0" fontId="0" fillId="0" borderId="7" xfId="0" applyNumberFormat="1" applyFill="1" applyBorder="1" applyAlignment="1">
      <alignment wrapText="1"/>
    </xf>
    <xf numFmtId="0" fontId="7" fillId="0" borderId="1" xfId="0" applyNumberFormat="1" applyFont="1" applyFill="1" applyBorder="1" applyAlignment="1">
      <alignment horizontal="left" vertical="top" wrapText="1"/>
    </xf>
    <xf numFmtId="0" fontId="7" fillId="0" borderId="1" xfId="0" applyNumberFormat="1" applyFont="1" applyBorder="1" applyAlignment="1">
      <alignment vertical="top" wrapText="1"/>
    </xf>
    <xf numFmtId="0" fontId="14" fillId="0" borderId="1" xfId="0" applyFont="1" applyBorder="1" applyAlignment="1">
      <alignment wrapText="1"/>
    </xf>
    <xf numFmtId="4" fontId="7" fillId="0" borderId="1" xfId="0" applyNumberFormat="1" applyFont="1" applyFill="1" applyBorder="1" applyAlignment="1">
      <alignment horizontal="right" vertical="top" wrapText="1"/>
    </xf>
    <xf numFmtId="3" fontId="7" fillId="0" borderId="1" xfId="0" applyNumberFormat="1" applyFont="1" applyFill="1" applyBorder="1" applyAlignment="1">
      <alignment wrapText="1"/>
    </xf>
    <xf numFmtId="3" fontId="7" fillId="0" borderId="1" xfId="0" applyNumberFormat="1" applyFont="1" applyFill="1" applyBorder="1" applyAlignment="1">
      <alignment horizontal="right" vertical="top" wrapText="1"/>
    </xf>
    <xf numFmtId="3" fontId="6" fillId="0" borderId="1" xfId="0" applyNumberFormat="1" applyFont="1" applyFill="1" applyBorder="1" applyAlignment="1">
      <alignment wrapText="1"/>
    </xf>
    <xf numFmtId="3" fontId="7" fillId="0" borderId="3" xfId="0" applyNumberFormat="1" applyFont="1" applyFill="1" applyBorder="1" applyAlignment="1">
      <alignment wrapText="1"/>
    </xf>
    <xf numFmtId="0" fontId="7" fillId="0" borderId="3" xfId="0" applyFont="1" applyBorder="1" applyAlignment="1">
      <alignment vertical="top" wrapText="1"/>
    </xf>
    <xf numFmtId="0" fontId="7" fillId="0" borderId="3" xfId="0" applyFont="1" applyFill="1" applyBorder="1" applyAlignment="1">
      <alignment vertical="top" wrapText="1"/>
    </xf>
    <xf numFmtId="0" fontId="3" fillId="0" borderId="8" xfId="0" applyNumberFormat="1" applyFont="1" applyBorder="1" applyAlignment="1">
      <alignment horizontal="center" wrapText="1"/>
    </xf>
    <xf numFmtId="4" fontId="3" fillId="0" borderId="9" xfId="0" applyNumberFormat="1" applyFont="1" applyFill="1" applyBorder="1" applyAlignment="1">
      <alignment wrapText="1"/>
    </xf>
    <xf numFmtId="4" fontId="0" fillId="0" borderId="5" xfId="0" applyNumberFormat="1" applyFill="1" applyBorder="1" applyAlignment="1">
      <alignment horizontal="right" wrapText="1"/>
    </xf>
    <xf numFmtId="4" fontId="0" fillId="0" borderId="3" xfId="0" applyNumberFormat="1" applyFill="1" applyBorder="1" applyAlignment="1">
      <alignment horizontal="right" wrapText="1"/>
    </xf>
    <xf numFmtId="4" fontId="0" fillId="0" borderId="10" xfId="0" applyNumberFormat="1" applyFill="1" applyBorder="1" applyAlignment="1">
      <alignment horizontal="right" wrapText="1"/>
    </xf>
    <xf numFmtId="4" fontId="0" fillId="0" borderId="8" xfId="0" applyNumberFormat="1" applyFill="1" applyBorder="1" applyAlignment="1">
      <alignment horizontal="right" wrapText="1"/>
    </xf>
    <xf numFmtId="4" fontId="0" fillId="0" borderId="8" xfId="0" applyNumberFormat="1" applyFill="1" applyBorder="1" applyAlignment="1">
      <alignment horizontal="right" vertical="top"/>
    </xf>
    <xf numFmtId="4" fontId="11" fillId="0" borderId="8" xfId="0" applyNumberFormat="1" applyFont="1" applyFill="1" applyBorder="1" applyAlignment="1">
      <alignment horizontal="right" wrapText="1"/>
    </xf>
    <xf numFmtId="4" fontId="11" fillId="0" borderId="1" xfId="0" applyNumberFormat="1" applyFont="1" applyFill="1" applyBorder="1" applyAlignment="1">
      <alignment horizontal="right" wrapText="1"/>
    </xf>
    <xf numFmtId="4" fontId="0" fillId="0" borderId="1" xfId="0" applyNumberFormat="1" applyFill="1" applyBorder="1" applyAlignment="1">
      <alignment horizontal="right" wrapText="1"/>
    </xf>
    <xf numFmtId="4" fontId="13" fillId="0" borderId="1" xfId="0" applyNumberFormat="1" applyFont="1" applyFill="1" applyBorder="1" applyAlignment="1">
      <alignment horizontal="right" wrapText="1"/>
    </xf>
    <xf numFmtId="4" fontId="3" fillId="0" borderId="0" xfId="0" applyNumberFormat="1" applyFont="1" applyFill="1" applyBorder="1" applyAlignment="1">
      <alignment horizontal="right" wrapText="1"/>
    </xf>
    <xf numFmtId="4" fontId="0" fillId="0" borderId="0" xfId="0" applyNumberFormat="1" applyFill="1" applyBorder="1" applyAlignment="1">
      <alignment horizontal="right" wrapText="1"/>
    </xf>
    <xf numFmtId="4" fontId="0" fillId="0" borderId="8" xfId="0" applyNumberFormat="1" applyBorder="1" applyAlignment="1">
      <alignment horizontal="right" wrapText="1"/>
    </xf>
    <xf numFmtId="4" fontId="11" fillId="0" borderId="8" xfId="0" applyNumberFormat="1" applyFont="1" applyBorder="1" applyAlignment="1">
      <alignment horizontal="right" vertical="top" wrapText="1"/>
    </xf>
    <xf numFmtId="4" fontId="0" fillId="0" borderId="1" xfId="0" applyNumberFormat="1" applyBorder="1" applyAlignment="1">
      <alignment horizontal="right" wrapText="1"/>
    </xf>
    <xf numFmtId="4" fontId="11" fillId="0" borderId="1" xfId="0" applyNumberFormat="1" applyFont="1" applyFill="1" applyBorder="1" applyAlignment="1">
      <alignment horizontal="right" vertical="top" wrapText="1"/>
    </xf>
    <xf numFmtId="4" fontId="11" fillId="0" borderId="8" xfId="0" applyNumberFormat="1" applyFont="1" applyFill="1" applyBorder="1" applyAlignment="1">
      <alignment horizontal="right" vertical="top" wrapText="1"/>
    </xf>
    <xf numFmtId="4" fontId="0" fillId="0" borderId="10" xfId="0" applyNumberFormat="1" applyBorder="1" applyAlignment="1">
      <alignment horizontal="right" wrapText="1"/>
    </xf>
    <xf numFmtId="4" fontId="11" fillId="0" borderId="10" xfId="0" applyNumberFormat="1" applyFont="1" applyFill="1" applyBorder="1" applyAlignment="1">
      <alignment horizontal="right" vertical="top" wrapText="1"/>
    </xf>
    <xf numFmtId="4" fontId="13" fillId="0" borderId="8" xfId="0" applyNumberFormat="1" applyFont="1" applyFill="1" applyBorder="1" applyAlignment="1">
      <alignment horizontal="right" wrapText="1"/>
    </xf>
    <xf numFmtId="4" fontId="0" fillId="0" borderId="0" xfId="0" applyNumberFormat="1" applyFill="1" applyAlignment="1">
      <alignment wrapText="1"/>
    </xf>
    <xf numFmtId="0" fontId="2" fillId="0" borderId="7" xfId="0" applyNumberFormat="1" applyFont="1" applyFill="1" applyBorder="1" applyAlignment="1">
      <alignment horizontal="right" wrapText="1"/>
    </xf>
    <xf numFmtId="0" fontId="2" fillId="0" borderId="1" xfId="0" applyNumberFormat="1" applyFont="1" applyBorder="1" applyAlignment="1">
      <alignment horizontal="right" wrapText="1"/>
    </xf>
    <xf numFmtId="0" fontId="2" fillId="0" borderId="8" xfId="0" applyNumberFormat="1" applyFont="1" applyBorder="1" applyAlignment="1">
      <alignment horizontal="right" wrapText="1"/>
    </xf>
    <xf numFmtId="3" fontId="2" fillId="0" borderId="8" xfId="0" applyNumberFormat="1" applyFont="1" applyBorder="1" applyAlignment="1">
      <alignment horizontal="right" vertical="top"/>
    </xf>
    <xf numFmtId="3" fontId="2" fillId="0" borderId="8" xfId="0" applyNumberFormat="1" applyFont="1" applyBorder="1" applyAlignment="1">
      <alignment horizontal="right" wrapText="1"/>
    </xf>
    <xf numFmtId="3" fontId="2" fillId="0" borderId="8" xfId="0" applyNumberFormat="1" applyFont="1" applyFill="1" applyBorder="1" applyAlignment="1">
      <alignment horizontal="right" wrapText="1"/>
    </xf>
    <xf numFmtId="3" fontId="15" fillId="0" borderId="0" xfId="0" applyNumberFormat="1" applyFont="1" applyBorder="1" applyAlignment="1">
      <alignment horizontal="right" wrapText="1"/>
    </xf>
    <xf numFmtId="3" fontId="2" fillId="0" borderId="0" xfId="0" applyNumberFormat="1" applyFont="1" applyFill="1" applyBorder="1" applyAlignment="1">
      <alignment horizontal="right" wrapText="1"/>
    </xf>
    <xf numFmtId="3" fontId="2" fillId="0" borderId="8" xfId="0" applyNumberFormat="1" applyFont="1" applyBorder="1" applyAlignment="1">
      <alignment horizontal="right" vertical="top" wrapText="1"/>
    </xf>
    <xf numFmtId="3" fontId="2" fillId="0" borderId="1" xfId="0" applyNumberFormat="1" applyFont="1" applyBorder="1" applyAlignment="1">
      <alignment horizontal="right" wrapText="1"/>
    </xf>
    <xf numFmtId="3" fontId="2" fillId="0" borderId="1" xfId="0" applyNumberFormat="1" applyFont="1" applyFill="1" applyBorder="1" applyAlignment="1">
      <alignment horizontal="right" vertical="top" wrapText="1"/>
    </xf>
    <xf numFmtId="3" fontId="2" fillId="0" borderId="8" xfId="0" applyNumberFormat="1" applyFont="1" applyFill="1" applyBorder="1" applyAlignment="1">
      <alignment horizontal="right" vertical="top" wrapText="1"/>
    </xf>
    <xf numFmtId="3" fontId="2" fillId="0" borderId="10" xfId="0" applyNumberFormat="1" applyFont="1" applyBorder="1" applyAlignment="1">
      <alignment horizontal="right" wrapText="1"/>
    </xf>
    <xf numFmtId="3" fontId="2" fillId="0" borderId="10" xfId="0" applyNumberFormat="1" applyFont="1" applyFill="1" applyBorder="1" applyAlignment="1">
      <alignment horizontal="right" wrapText="1"/>
    </xf>
    <xf numFmtId="3" fontId="2" fillId="0" borderId="10" xfId="0" applyNumberFormat="1" applyFont="1" applyFill="1" applyBorder="1" applyAlignment="1">
      <alignment horizontal="right" vertical="top" wrapText="1"/>
    </xf>
    <xf numFmtId="3" fontId="2" fillId="0" borderId="0" xfId="0" applyNumberFormat="1" applyFont="1" applyFill="1" applyAlignment="1">
      <alignment wrapText="1"/>
    </xf>
    <xf numFmtId="0" fontId="2" fillId="0" borderId="0" xfId="0" applyNumberFormat="1" applyFont="1" applyAlignment="1">
      <alignment wrapText="1"/>
    </xf>
    <xf numFmtId="0" fontId="11" fillId="0" borderId="5" xfId="0" applyNumberFormat="1" applyFont="1" applyFill="1" applyBorder="1" applyAlignment="1">
      <alignment horizontal="right" wrapText="1"/>
    </xf>
    <xf numFmtId="0" fontId="11" fillId="0" borderId="3" xfId="0" applyNumberFormat="1" applyFont="1" applyFill="1" applyBorder="1" applyAlignment="1">
      <alignment horizontal="right" wrapText="1"/>
    </xf>
    <xf numFmtId="0" fontId="11" fillId="0" borderId="10" xfId="0" applyNumberFormat="1" applyFont="1" applyBorder="1" applyAlignment="1">
      <alignment horizontal="right" wrapText="1"/>
    </xf>
    <xf numFmtId="0" fontId="11" fillId="0" borderId="8" xfId="0" applyNumberFormat="1" applyFont="1" applyBorder="1" applyAlignment="1">
      <alignment horizontal="right" wrapText="1"/>
    </xf>
    <xf numFmtId="3" fontId="11" fillId="0" borderId="8" xfId="0" applyNumberFormat="1" applyFont="1" applyFill="1" applyBorder="1" applyAlignment="1">
      <alignment horizontal="right" vertical="top"/>
    </xf>
    <xf numFmtId="3" fontId="11" fillId="0" borderId="8" xfId="0" applyNumberFormat="1" applyFont="1" applyBorder="1" applyAlignment="1">
      <alignment horizontal="right" wrapText="1"/>
    </xf>
    <xf numFmtId="3" fontId="11" fillId="0" borderId="11" xfId="0" applyNumberFormat="1" applyFont="1" applyBorder="1" applyAlignment="1">
      <alignment horizontal="right" wrapText="1"/>
    </xf>
    <xf numFmtId="3" fontId="11" fillId="0" borderId="0" xfId="0" applyNumberFormat="1" applyFont="1" applyFill="1" applyBorder="1" applyAlignment="1">
      <alignment horizontal="right" wrapText="1"/>
    </xf>
    <xf numFmtId="3" fontId="11" fillId="0" borderId="1" xfId="0" applyNumberFormat="1" applyFont="1" applyBorder="1" applyAlignment="1">
      <alignment horizontal="right" wrapText="1"/>
    </xf>
    <xf numFmtId="3" fontId="11" fillId="0" borderId="10" xfId="0" applyNumberFormat="1" applyFont="1" applyBorder="1" applyAlignment="1">
      <alignment horizontal="right" wrapText="1"/>
    </xf>
    <xf numFmtId="3" fontId="11" fillId="0" borderId="10" xfId="0" applyNumberFormat="1" applyFont="1" applyFill="1" applyBorder="1" applyAlignment="1">
      <alignment horizontal="right" wrapText="1"/>
    </xf>
    <xf numFmtId="3" fontId="11" fillId="0" borderId="0" xfId="0" applyNumberFormat="1" applyFont="1" applyFill="1" applyAlignment="1">
      <alignment wrapText="1"/>
    </xf>
    <xf numFmtId="0" fontId="3" fillId="0" borderId="1" xfId="0" applyNumberFormat="1" applyFont="1" applyBorder="1" applyAlignment="1">
      <alignment wrapText="1"/>
    </xf>
    <xf numFmtId="3" fontId="0" fillId="0" borderId="3" xfId="0" applyNumberFormat="1" applyFill="1" applyBorder="1" applyAlignment="1">
      <alignment horizontal="right" wrapText="1"/>
    </xf>
    <xf numFmtId="0" fontId="3" fillId="0" borderId="1" xfId="0" applyNumberFormat="1" applyFont="1" applyBorder="1" applyAlignment="1">
      <alignment horizontal="center" wrapText="1"/>
    </xf>
    <xf numFmtId="3" fontId="16" fillId="0" borderId="8" xfId="0" applyNumberFormat="1" applyFont="1" applyFill="1" applyBorder="1" applyAlignment="1">
      <alignment horizontal="right" vertical="top" wrapText="1"/>
    </xf>
    <xf numFmtId="3" fontId="16" fillId="0" borderId="8" xfId="0" applyNumberFormat="1" applyFont="1" applyBorder="1" applyAlignment="1">
      <alignment horizontal="right" vertical="top" wrapText="1"/>
    </xf>
    <xf numFmtId="165" fontId="16" fillId="0" borderId="8" xfId="0" applyNumberFormat="1" applyFont="1" applyFill="1" applyBorder="1" applyAlignment="1">
      <alignment horizontal="right" vertical="top" wrapText="1"/>
    </xf>
    <xf numFmtId="3" fontId="2" fillId="0" borderId="0" xfId="0" applyNumberFormat="1" applyFont="1" applyAlignment="1">
      <alignment wrapText="1"/>
    </xf>
    <xf numFmtId="0" fontId="7" fillId="0" borderId="0" xfId="0" applyNumberFormat="1"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141"/>
  <sheetViews>
    <sheetView tabSelected="1" view="pageLayout" zoomScaleNormal="115" zoomScaleSheetLayoutView="112" workbookViewId="0">
      <selection activeCell="R133" sqref="R133"/>
    </sheetView>
  </sheetViews>
  <sheetFormatPr defaultRowHeight="12.75" x14ac:dyDescent="0.2"/>
  <cols>
    <col min="1" max="1" width="8" style="2" bestFit="1" customWidth="1"/>
    <col min="2" max="2" width="45.7109375" style="2" customWidth="1"/>
    <col min="3" max="3" width="12.42578125" style="14" hidden="1" customWidth="1"/>
    <col min="4" max="4" width="14.85546875" style="137" hidden="1" customWidth="1"/>
    <col min="5" max="5" width="12.42578125" style="18" customWidth="1"/>
    <col min="6" max="6" width="12.42578125" style="33" customWidth="1"/>
    <col min="7" max="9" width="12.42578125" style="2" hidden="1" customWidth="1"/>
    <col min="10" max="10" width="10.42578125" style="154" customWidth="1"/>
    <col min="11" max="11" width="12.42578125" style="154" hidden="1" customWidth="1"/>
    <col min="12" max="12" width="9.28515625" style="154" hidden="1" customWidth="1"/>
    <col min="13" max="13" width="12.140625" style="154" bestFit="1" customWidth="1"/>
    <col min="14" max="14" width="12.140625" style="154" hidden="1" customWidth="1"/>
    <col min="15" max="18" width="12.140625" style="154" customWidth="1"/>
    <col min="19" max="19" width="60.7109375" style="2" customWidth="1"/>
    <col min="20" max="16384" width="9.140625" style="2"/>
  </cols>
  <sheetData>
    <row r="1" spans="1:19" s="1" customFormat="1" ht="51" x14ac:dyDescent="0.2">
      <c r="A1" s="46" t="s">
        <v>29</v>
      </c>
      <c r="B1" s="22" t="s">
        <v>2</v>
      </c>
      <c r="C1" s="116" t="s">
        <v>168</v>
      </c>
      <c r="D1" s="117" t="s">
        <v>174</v>
      </c>
      <c r="E1" s="84" t="s">
        <v>175</v>
      </c>
      <c r="F1" s="101" t="s">
        <v>177</v>
      </c>
      <c r="G1" s="68" t="s">
        <v>154</v>
      </c>
      <c r="H1" s="68" t="s">
        <v>155</v>
      </c>
      <c r="I1" s="68" t="s">
        <v>173</v>
      </c>
      <c r="J1" s="167" t="s">
        <v>178</v>
      </c>
      <c r="K1" s="167" t="s">
        <v>179</v>
      </c>
      <c r="L1" s="169" t="s">
        <v>181</v>
      </c>
      <c r="M1" s="167" t="s">
        <v>180</v>
      </c>
      <c r="N1" s="167" t="s">
        <v>184</v>
      </c>
      <c r="O1" s="167" t="s">
        <v>183</v>
      </c>
      <c r="P1" s="167" t="s">
        <v>185</v>
      </c>
      <c r="Q1" s="167" t="s">
        <v>187</v>
      </c>
      <c r="R1" s="167" t="s">
        <v>186</v>
      </c>
      <c r="S1" s="103" t="s">
        <v>3</v>
      </c>
    </row>
    <row r="2" spans="1:19" s="18" customFormat="1" ht="15" x14ac:dyDescent="0.2">
      <c r="B2" s="58" t="s">
        <v>95</v>
      </c>
      <c r="C2" s="69"/>
      <c r="D2" s="118"/>
      <c r="E2" s="69"/>
      <c r="F2" s="155"/>
      <c r="G2" s="69"/>
      <c r="H2" s="69"/>
      <c r="I2" s="69"/>
      <c r="J2" s="138"/>
      <c r="K2" s="138"/>
      <c r="L2" s="138"/>
      <c r="M2" s="138"/>
      <c r="N2" s="138"/>
      <c r="O2" s="138"/>
      <c r="P2" s="138"/>
      <c r="Q2" s="138"/>
      <c r="R2" s="138"/>
      <c r="S2" s="105"/>
    </row>
    <row r="3" spans="1:19" s="18" customFormat="1" ht="15" x14ac:dyDescent="0.2">
      <c r="B3" s="58"/>
      <c r="C3" s="70"/>
      <c r="D3" s="119"/>
      <c r="E3" s="70"/>
      <c r="F3" s="156"/>
      <c r="G3" s="70"/>
      <c r="H3" s="70"/>
      <c r="I3" s="70"/>
      <c r="J3" s="138"/>
      <c r="K3" s="138"/>
      <c r="L3" s="138"/>
      <c r="M3" s="138"/>
      <c r="N3" s="138"/>
      <c r="O3" s="138"/>
      <c r="P3" s="138"/>
      <c r="Q3" s="138"/>
      <c r="R3" s="138"/>
      <c r="S3" s="105"/>
    </row>
    <row r="4" spans="1:19" ht="15" x14ac:dyDescent="0.2">
      <c r="A4" s="23">
        <v>1</v>
      </c>
      <c r="B4" s="25" t="s">
        <v>96</v>
      </c>
      <c r="C4" s="71"/>
      <c r="D4" s="120"/>
      <c r="E4" s="85"/>
      <c r="F4" s="157"/>
      <c r="G4" s="71"/>
      <c r="H4" s="71"/>
      <c r="I4" s="71"/>
      <c r="J4" s="139"/>
      <c r="K4" s="139"/>
      <c r="L4" s="139"/>
      <c r="M4" s="139"/>
      <c r="N4" s="139"/>
      <c r="O4" s="139"/>
      <c r="P4" s="139"/>
      <c r="Q4" s="139"/>
      <c r="R4" s="139"/>
      <c r="S4" s="104" t="s">
        <v>4</v>
      </c>
    </row>
    <row r="5" spans="1:19" x14ac:dyDescent="0.2">
      <c r="A5" s="24">
        <v>11</v>
      </c>
      <c r="B5" s="48" t="s">
        <v>96</v>
      </c>
      <c r="C5" s="72"/>
      <c r="D5" s="121"/>
      <c r="E5" s="86"/>
      <c r="F5" s="158"/>
      <c r="G5" s="72"/>
      <c r="H5" s="72"/>
      <c r="I5" s="72"/>
      <c r="J5" s="140"/>
      <c r="K5" s="140"/>
      <c r="L5" s="140"/>
      <c r="M5" s="140"/>
      <c r="N5" s="140"/>
      <c r="O5" s="140"/>
      <c r="P5" s="140"/>
      <c r="Q5" s="140"/>
      <c r="R5" s="140"/>
      <c r="S5" s="104" t="s">
        <v>4</v>
      </c>
    </row>
    <row r="6" spans="1:19" x14ac:dyDescent="0.2">
      <c r="A6" s="6">
        <v>111</v>
      </c>
      <c r="B6" s="39" t="s">
        <v>97</v>
      </c>
      <c r="C6" s="72"/>
      <c r="D6" s="121"/>
      <c r="E6" s="86"/>
      <c r="F6" s="158"/>
      <c r="G6" s="72"/>
      <c r="H6" s="72"/>
      <c r="I6" s="72"/>
      <c r="J6" s="140"/>
      <c r="K6" s="140"/>
      <c r="L6" s="140"/>
      <c r="M6" s="140"/>
      <c r="N6" s="140"/>
      <c r="O6" s="140"/>
      <c r="P6" s="140"/>
      <c r="Q6" s="140"/>
      <c r="R6" s="140"/>
      <c r="S6" s="42"/>
    </row>
    <row r="7" spans="1:19" ht="201.75" customHeight="1" x14ac:dyDescent="0.2">
      <c r="A7" s="63">
        <v>1111</v>
      </c>
      <c r="B7" s="64" t="s">
        <v>98</v>
      </c>
      <c r="C7" s="73">
        <v>28297254</v>
      </c>
      <c r="D7" s="122">
        <v>25767300</v>
      </c>
      <c r="E7" s="73">
        <v>26922790</v>
      </c>
      <c r="F7" s="74">
        <f t="shared" ref="F7:F13" si="0">SUM(G7:I7)</f>
        <v>27377520</v>
      </c>
      <c r="G7" s="73">
        <v>25615000</v>
      </c>
      <c r="H7" s="73">
        <v>632690</v>
      </c>
      <c r="I7" s="73">
        <v>1129830</v>
      </c>
      <c r="J7" s="141"/>
      <c r="K7" s="74">
        <v>27377520</v>
      </c>
      <c r="L7" s="74">
        <v>-500000</v>
      </c>
      <c r="M7" s="74">
        <f>K7+L7</f>
        <v>26877520</v>
      </c>
      <c r="N7" s="74"/>
      <c r="O7" s="74">
        <f>M7+N7</f>
        <v>26877520</v>
      </c>
      <c r="P7" s="74"/>
      <c r="Q7" s="74"/>
      <c r="R7" s="74">
        <f>O7+P7</f>
        <v>26877520</v>
      </c>
      <c r="S7" s="106" t="s">
        <v>160</v>
      </c>
    </row>
    <row r="8" spans="1:19" ht="181.5" customHeight="1" x14ac:dyDescent="0.2">
      <c r="A8" s="63">
        <v>1112</v>
      </c>
      <c r="B8" s="64" t="s">
        <v>171</v>
      </c>
      <c r="C8" s="73">
        <v>12590920</v>
      </c>
      <c r="D8" s="122">
        <v>12244000</v>
      </c>
      <c r="E8" s="73">
        <v>12790760</v>
      </c>
      <c r="F8" s="74">
        <f t="shared" si="0"/>
        <v>12771464</v>
      </c>
      <c r="G8" s="73">
        <v>12176000</v>
      </c>
      <c r="H8" s="73">
        <v>297094</v>
      </c>
      <c r="I8" s="73">
        <v>298370</v>
      </c>
      <c r="J8" s="141"/>
      <c r="K8" s="74">
        <v>12771464</v>
      </c>
      <c r="L8" s="74"/>
      <c r="M8" s="74">
        <f t="shared" ref="M8:M13" si="1">K8</f>
        <v>12771464</v>
      </c>
      <c r="N8" s="74"/>
      <c r="O8" s="74">
        <f t="shared" ref="O8:O13" si="2">M8</f>
        <v>12771464</v>
      </c>
      <c r="P8" s="74"/>
      <c r="Q8" s="74"/>
      <c r="R8" s="74">
        <f>O8</f>
        <v>12771464</v>
      </c>
      <c r="S8" s="106" t="s">
        <v>161</v>
      </c>
    </row>
    <row r="9" spans="1:19" ht="171" customHeight="1" x14ac:dyDescent="0.2">
      <c r="A9" s="63">
        <v>1113</v>
      </c>
      <c r="B9" s="64" t="s">
        <v>170</v>
      </c>
      <c r="C9" s="73">
        <v>2203000</v>
      </c>
      <c r="D9" s="122">
        <v>2067000</v>
      </c>
      <c r="E9" s="73">
        <v>2163000</v>
      </c>
      <c r="F9" s="74">
        <f t="shared" si="0"/>
        <v>2248643</v>
      </c>
      <c r="G9" s="73">
        <v>2203000</v>
      </c>
      <c r="H9" s="73"/>
      <c r="I9" s="73">
        <v>45643</v>
      </c>
      <c r="J9" s="141"/>
      <c r="K9" s="74">
        <v>2248643</v>
      </c>
      <c r="L9" s="74"/>
      <c r="M9" s="74">
        <f t="shared" si="1"/>
        <v>2248643</v>
      </c>
      <c r="N9" s="74"/>
      <c r="O9" s="74">
        <f t="shared" si="2"/>
        <v>2248643</v>
      </c>
      <c r="P9" s="74"/>
      <c r="Q9" s="74"/>
      <c r="R9" s="74">
        <f>O9</f>
        <v>2248643</v>
      </c>
      <c r="S9" s="106" t="s">
        <v>162</v>
      </c>
    </row>
    <row r="10" spans="1:19" ht="180" x14ac:dyDescent="0.2">
      <c r="A10" s="63">
        <v>1114</v>
      </c>
      <c r="B10" s="64" t="s">
        <v>176</v>
      </c>
      <c r="C10" s="73">
        <v>4991000</v>
      </c>
      <c r="D10" s="122">
        <v>4676700</v>
      </c>
      <c r="E10" s="73">
        <v>4760160</v>
      </c>
      <c r="F10" s="74">
        <f t="shared" si="0"/>
        <v>5366005</v>
      </c>
      <c r="G10" s="73">
        <f>1926000+1583000+724000+832000</f>
        <v>5065000</v>
      </c>
      <c r="H10" s="73">
        <f>65455+59650</f>
        <v>125105</v>
      </c>
      <c r="I10" s="73">
        <f>84000+91900</f>
        <v>175900</v>
      </c>
      <c r="J10" s="141"/>
      <c r="K10" s="74">
        <v>5366005</v>
      </c>
      <c r="L10" s="74"/>
      <c r="M10" s="74">
        <f t="shared" si="1"/>
        <v>5366005</v>
      </c>
      <c r="N10" s="74"/>
      <c r="O10" s="74">
        <f t="shared" si="2"/>
        <v>5366005</v>
      </c>
      <c r="P10" s="74"/>
      <c r="Q10" s="74"/>
      <c r="R10" s="74">
        <f>O10</f>
        <v>5366005</v>
      </c>
      <c r="S10" s="106" t="s">
        <v>169</v>
      </c>
    </row>
    <row r="11" spans="1:19" ht="170.25" customHeight="1" x14ac:dyDescent="0.2">
      <c r="A11" s="63">
        <v>1115</v>
      </c>
      <c r="B11" s="64" t="s">
        <v>167</v>
      </c>
      <c r="C11" s="73">
        <v>163000</v>
      </c>
      <c r="D11" s="122">
        <v>152700</v>
      </c>
      <c r="E11" s="73">
        <v>221000</v>
      </c>
      <c r="F11" s="74">
        <f>SUM(G11:I11)</f>
        <v>194000</v>
      </c>
      <c r="G11" s="73">
        <v>194000</v>
      </c>
      <c r="H11" s="73"/>
      <c r="I11" s="73"/>
      <c r="J11" s="141"/>
      <c r="K11" s="74">
        <v>194000</v>
      </c>
      <c r="L11" s="74"/>
      <c r="M11" s="74">
        <f t="shared" si="1"/>
        <v>194000</v>
      </c>
      <c r="N11" s="74"/>
      <c r="O11" s="74">
        <f t="shared" si="2"/>
        <v>194000</v>
      </c>
      <c r="P11" s="74"/>
      <c r="Q11" s="74"/>
      <c r="R11" s="74">
        <f>O11</f>
        <v>194000</v>
      </c>
      <c r="S11" s="106" t="s">
        <v>163</v>
      </c>
    </row>
    <row r="12" spans="1:19" ht="173.25" customHeight="1" x14ac:dyDescent="0.2">
      <c r="A12" s="63">
        <v>1116</v>
      </c>
      <c r="B12" s="64" t="s">
        <v>172</v>
      </c>
      <c r="C12" s="73">
        <v>885000</v>
      </c>
      <c r="D12" s="122">
        <v>829300</v>
      </c>
      <c r="E12" s="73">
        <v>798460</v>
      </c>
      <c r="F12" s="74">
        <f t="shared" si="0"/>
        <v>838088</v>
      </c>
      <c r="G12" s="73">
        <f>487000+302000</f>
        <v>789000</v>
      </c>
      <c r="H12" s="73">
        <v>19488</v>
      </c>
      <c r="I12" s="73">
        <v>29600</v>
      </c>
      <c r="J12" s="141"/>
      <c r="K12" s="74">
        <v>838088</v>
      </c>
      <c r="L12" s="74"/>
      <c r="M12" s="74">
        <f t="shared" si="1"/>
        <v>838088</v>
      </c>
      <c r="N12" s="74"/>
      <c r="O12" s="74">
        <f t="shared" si="2"/>
        <v>838088</v>
      </c>
      <c r="P12" s="74"/>
      <c r="Q12" s="74"/>
      <c r="R12" s="74">
        <f>O12</f>
        <v>838088</v>
      </c>
      <c r="S12" s="106" t="s">
        <v>164</v>
      </c>
    </row>
    <row r="13" spans="1:19" ht="144" x14ac:dyDescent="0.2">
      <c r="A13" s="63">
        <v>1117</v>
      </c>
      <c r="B13" s="64" t="s">
        <v>151</v>
      </c>
      <c r="C13" s="73">
        <v>897000</v>
      </c>
      <c r="D13" s="122">
        <v>878000</v>
      </c>
      <c r="E13" s="74">
        <v>989000</v>
      </c>
      <c r="F13" s="74">
        <f t="shared" si="0"/>
        <v>1039000</v>
      </c>
      <c r="G13" s="74">
        <v>1039000</v>
      </c>
      <c r="H13" s="74"/>
      <c r="I13" s="74"/>
      <c r="J13" s="141"/>
      <c r="K13" s="74">
        <v>1039000</v>
      </c>
      <c r="L13" s="74"/>
      <c r="M13" s="74">
        <f t="shared" si="1"/>
        <v>1039000</v>
      </c>
      <c r="N13" s="74"/>
      <c r="O13" s="74">
        <f t="shared" si="2"/>
        <v>1039000</v>
      </c>
      <c r="P13" s="74"/>
      <c r="Q13" s="74"/>
      <c r="R13" s="74">
        <f>O13</f>
        <v>1039000</v>
      </c>
      <c r="S13" s="106" t="s">
        <v>165</v>
      </c>
    </row>
    <row r="14" spans="1:19" x14ac:dyDescent="0.2">
      <c r="A14" s="8" t="s">
        <v>4</v>
      </c>
      <c r="B14" s="9" t="s">
        <v>109</v>
      </c>
      <c r="C14" s="87">
        <f t="shared" ref="C14:M14" si="3">SUM(C7:C13)</f>
        <v>50027174</v>
      </c>
      <c r="D14" s="122">
        <f t="shared" si="3"/>
        <v>46615000</v>
      </c>
      <c r="E14" s="87">
        <f t="shared" si="3"/>
        <v>48645170</v>
      </c>
      <c r="F14" s="159">
        <f t="shared" si="3"/>
        <v>49834720</v>
      </c>
      <c r="G14" s="87">
        <f t="shared" si="3"/>
        <v>47081000</v>
      </c>
      <c r="H14" s="87">
        <f t="shared" si="3"/>
        <v>1074377</v>
      </c>
      <c r="I14" s="87">
        <f t="shared" si="3"/>
        <v>1679343</v>
      </c>
      <c r="J14" s="87">
        <f t="shared" si="3"/>
        <v>0</v>
      </c>
      <c r="K14" s="159">
        <f t="shared" si="3"/>
        <v>49834720</v>
      </c>
      <c r="L14" s="159">
        <f t="shared" si="3"/>
        <v>-500000</v>
      </c>
      <c r="M14" s="159">
        <f t="shared" si="3"/>
        <v>49334720</v>
      </c>
      <c r="N14" s="159"/>
      <c r="O14" s="159">
        <f t="shared" ref="O14" si="4">SUM(O7:O13)</f>
        <v>49334720</v>
      </c>
      <c r="P14" s="159"/>
      <c r="Q14" s="159"/>
      <c r="R14" s="159">
        <f t="shared" ref="R14" si="5">SUM(R7:R13)</f>
        <v>49334720</v>
      </c>
      <c r="S14" s="40"/>
    </row>
    <row r="15" spans="1:19" x14ac:dyDescent="0.2">
      <c r="A15" s="59">
        <v>112</v>
      </c>
      <c r="B15" s="39" t="s">
        <v>99</v>
      </c>
      <c r="C15" s="75"/>
      <c r="D15" s="122"/>
      <c r="E15" s="87"/>
      <c r="F15" s="160"/>
      <c r="G15" s="75"/>
      <c r="H15" s="75"/>
      <c r="I15" s="75"/>
      <c r="J15" s="142"/>
      <c r="K15" s="160"/>
      <c r="L15" s="160"/>
      <c r="M15" s="160"/>
      <c r="N15" s="160"/>
      <c r="O15" s="160"/>
      <c r="P15" s="160"/>
      <c r="Q15" s="160"/>
      <c r="R15" s="160"/>
      <c r="S15" s="107"/>
    </row>
    <row r="16" spans="1:19" ht="108" x14ac:dyDescent="0.2">
      <c r="A16" s="60">
        <v>1121</v>
      </c>
      <c r="B16" s="65" t="s">
        <v>100</v>
      </c>
      <c r="C16" s="73">
        <v>263000</v>
      </c>
      <c r="D16" s="122">
        <v>245000</v>
      </c>
      <c r="E16" s="73">
        <v>437000</v>
      </c>
      <c r="F16" s="74">
        <f>SUM(G16:I16)</f>
        <v>383000</v>
      </c>
      <c r="G16" s="73"/>
      <c r="H16" s="73"/>
      <c r="I16" s="73">
        <v>383000</v>
      </c>
      <c r="J16" s="141"/>
      <c r="K16" s="74">
        <v>383000</v>
      </c>
      <c r="L16" s="74"/>
      <c r="M16" s="74">
        <f>K16</f>
        <v>383000</v>
      </c>
      <c r="N16" s="74"/>
      <c r="O16" s="74">
        <f>M16</f>
        <v>383000</v>
      </c>
      <c r="P16" s="74"/>
      <c r="Q16" s="74"/>
      <c r="R16" s="74">
        <f>O16</f>
        <v>383000</v>
      </c>
      <c r="S16" s="106" t="s">
        <v>166</v>
      </c>
    </row>
    <row r="17" spans="1:19" x14ac:dyDescent="0.2">
      <c r="A17" s="60"/>
      <c r="B17" s="9" t="s">
        <v>113</v>
      </c>
      <c r="C17" s="88">
        <f t="shared" ref="C17:M17" si="6">SUM(C16)</f>
        <v>263000</v>
      </c>
      <c r="D17" s="121">
        <f t="shared" si="6"/>
        <v>245000</v>
      </c>
      <c r="E17" s="88">
        <f t="shared" si="6"/>
        <v>437000</v>
      </c>
      <c r="F17" s="160">
        <f t="shared" si="6"/>
        <v>383000</v>
      </c>
      <c r="G17" s="75">
        <f t="shared" si="6"/>
        <v>0</v>
      </c>
      <c r="H17" s="75">
        <f t="shared" si="6"/>
        <v>0</v>
      </c>
      <c r="I17" s="75">
        <f t="shared" si="6"/>
        <v>383000</v>
      </c>
      <c r="J17" s="75">
        <f t="shared" si="6"/>
        <v>0</v>
      </c>
      <c r="K17" s="160">
        <f t="shared" si="6"/>
        <v>383000</v>
      </c>
      <c r="L17" s="160">
        <f t="shared" si="6"/>
        <v>0</v>
      </c>
      <c r="M17" s="160">
        <f t="shared" si="6"/>
        <v>383000</v>
      </c>
      <c r="N17" s="160"/>
      <c r="O17" s="160">
        <f t="shared" ref="O17" si="7">SUM(O16)</f>
        <v>383000</v>
      </c>
      <c r="P17" s="160"/>
      <c r="Q17" s="160"/>
      <c r="R17" s="160">
        <f t="shared" ref="R17" si="8">SUM(R16)</f>
        <v>383000</v>
      </c>
      <c r="S17" s="106"/>
    </row>
    <row r="18" spans="1:19" x14ac:dyDescent="0.2">
      <c r="A18" s="8" t="s">
        <v>4</v>
      </c>
      <c r="B18" s="9" t="s">
        <v>114</v>
      </c>
      <c r="C18" s="88">
        <f t="shared" ref="C18:M18" si="9">C14+C17</f>
        <v>50290174</v>
      </c>
      <c r="D18" s="121">
        <f t="shared" si="9"/>
        <v>46860000</v>
      </c>
      <c r="E18" s="88">
        <f t="shared" si="9"/>
        <v>49082170</v>
      </c>
      <c r="F18" s="89">
        <f t="shared" si="9"/>
        <v>50217720</v>
      </c>
      <c r="G18" s="88">
        <f t="shared" si="9"/>
        <v>47081000</v>
      </c>
      <c r="H18" s="88">
        <f t="shared" si="9"/>
        <v>1074377</v>
      </c>
      <c r="I18" s="88">
        <f t="shared" si="9"/>
        <v>2062343</v>
      </c>
      <c r="J18" s="88">
        <f t="shared" si="9"/>
        <v>0</v>
      </c>
      <c r="K18" s="89">
        <f t="shared" si="9"/>
        <v>50217720</v>
      </c>
      <c r="L18" s="89">
        <f t="shared" si="9"/>
        <v>-500000</v>
      </c>
      <c r="M18" s="89">
        <f t="shared" si="9"/>
        <v>49717720</v>
      </c>
      <c r="N18" s="89"/>
      <c r="O18" s="89">
        <f t="shared" ref="O18" si="10">O14+O17</f>
        <v>49717720</v>
      </c>
      <c r="P18" s="89"/>
      <c r="Q18" s="89"/>
      <c r="R18" s="89">
        <f t="shared" ref="R18" si="11">R14+R17</f>
        <v>49717720</v>
      </c>
      <c r="S18" s="8" t="s">
        <v>4</v>
      </c>
    </row>
    <row r="19" spans="1:19" s="30" customFormat="1" x14ac:dyDescent="0.2">
      <c r="A19" s="8" t="s">
        <v>4</v>
      </c>
      <c r="B19" s="47" t="s">
        <v>115</v>
      </c>
      <c r="C19" s="89">
        <f t="shared" ref="C19:M19" si="12">C18</f>
        <v>50290174</v>
      </c>
      <c r="D19" s="123">
        <f t="shared" si="12"/>
        <v>46860000</v>
      </c>
      <c r="E19" s="89">
        <f t="shared" si="12"/>
        <v>49082170</v>
      </c>
      <c r="F19" s="89">
        <f t="shared" si="12"/>
        <v>50217720</v>
      </c>
      <c r="G19" s="89">
        <f t="shared" si="12"/>
        <v>47081000</v>
      </c>
      <c r="H19" s="89">
        <f t="shared" si="12"/>
        <v>1074377</v>
      </c>
      <c r="I19" s="89">
        <f t="shared" si="12"/>
        <v>2062343</v>
      </c>
      <c r="J19" s="89">
        <f t="shared" si="12"/>
        <v>0</v>
      </c>
      <c r="K19" s="89">
        <f t="shared" si="12"/>
        <v>50217720</v>
      </c>
      <c r="L19" s="89">
        <f t="shared" si="12"/>
        <v>-500000</v>
      </c>
      <c r="M19" s="89">
        <f t="shared" si="12"/>
        <v>49717720</v>
      </c>
      <c r="N19" s="89"/>
      <c r="O19" s="89">
        <f t="shared" ref="O19" si="13">O18</f>
        <v>49717720</v>
      </c>
      <c r="P19" s="89"/>
      <c r="Q19" s="89"/>
      <c r="R19" s="89">
        <f t="shared" ref="R19" si="14">R18</f>
        <v>49717720</v>
      </c>
      <c r="S19" s="108" t="s">
        <v>4</v>
      </c>
    </row>
    <row r="20" spans="1:19" ht="15" x14ac:dyDescent="0.2">
      <c r="A20" s="23">
        <v>2</v>
      </c>
      <c r="B20" s="25" t="s">
        <v>101</v>
      </c>
      <c r="C20" s="75"/>
      <c r="D20" s="121"/>
      <c r="E20" s="88"/>
      <c r="F20" s="160"/>
      <c r="G20" s="75"/>
      <c r="H20" s="75"/>
      <c r="I20" s="75"/>
      <c r="J20" s="142"/>
      <c r="K20" s="142"/>
      <c r="L20" s="142"/>
      <c r="M20" s="142"/>
      <c r="N20" s="142"/>
      <c r="O20" s="142"/>
      <c r="P20" s="142"/>
      <c r="Q20" s="142"/>
      <c r="R20" s="142"/>
      <c r="S20" s="107" t="s">
        <v>4</v>
      </c>
    </row>
    <row r="21" spans="1:19" ht="25.5" x14ac:dyDescent="0.2">
      <c r="A21" s="24">
        <v>21</v>
      </c>
      <c r="B21" s="48" t="s">
        <v>102</v>
      </c>
      <c r="C21" s="75"/>
      <c r="D21" s="121"/>
      <c r="E21" s="88"/>
      <c r="F21" s="160"/>
      <c r="G21" s="75"/>
      <c r="H21" s="75"/>
      <c r="I21" s="75"/>
      <c r="J21" s="142"/>
      <c r="K21" s="142"/>
      <c r="L21" s="142"/>
      <c r="M21" s="142"/>
      <c r="N21" s="142"/>
      <c r="O21" s="142"/>
      <c r="P21" s="142"/>
      <c r="Q21" s="142"/>
      <c r="R21" s="142"/>
      <c r="S21" s="107" t="s">
        <v>4</v>
      </c>
    </row>
    <row r="22" spans="1:19" ht="39.75" customHeight="1" x14ac:dyDescent="0.2">
      <c r="A22" s="63">
        <v>2111</v>
      </c>
      <c r="B22" s="66" t="s">
        <v>103</v>
      </c>
      <c r="C22" s="90" t="s">
        <v>5</v>
      </c>
      <c r="D22" s="124" t="s">
        <v>5</v>
      </c>
      <c r="E22" s="90" t="s">
        <v>5</v>
      </c>
      <c r="F22" s="90" t="s">
        <v>5</v>
      </c>
      <c r="G22" s="90" t="s">
        <v>5</v>
      </c>
      <c r="H22" s="90" t="s">
        <v>5</v>
      </c>
      <c r="I22" s="90" t="s">
        <v>5</v>
      </c>
      <c r="J22" s="143"/>
      <c r="K22" s="90" t="s">
        <v>5</v>
      </c>
      <c r="L22" s="90"/>
      <c r="M22" s="90" t="s">
        <v>5</v>
      </c>
      <c r="N22" s="90"/>
      <c r="O22" s="90" t="s">
        <v>5</v>
      </c>
      <c r="P22" s="90"/>
      <c r="Q22" s="90"/>
      <c r="R22" s="90" t="s">
        <v>5</v>
      </c>
      <c r="S22" s="109"/>
    </row>
    <row r="23" spans="1:19" x14ac:dyDescent="0.2">
      <c r="A23" s="3" t="s">
        <v>4</v>
      </c>
      <c r="B23" s="61" t="s">
        <v>116</v>
      </c>
      <c r="C23" s="91">
        <f t="shared" ref="C23:J23" si="15">SUM(C22)</f>
        <v>0</v>
      </c>
      <c r="D23" s="125">
        <f t="shared" si="15"/>
        <v>0</v>
      </c>
      <c r="E23" s="91">
        <f t="shared" si="15"/>
        <v>0</v>
      </c>
      <c r="F23" s="90">
        <f t="shared" si="15"/>
        <v>0</v>
      </c>
      <c r="G23" s="91">
        <f t="shared" si="15"/>
        <v>0</v>
      </c>
      <c r="H23" s="91">
        <f t="shared" si="15"/>
        <v>0</v>
      </c>
      <c r="I23" s="91">
        <f t="shared" si="15"/>
        <v>0</v>
      </c>
      <c r="J23" s="91">
        <f t="shared" si="15"/>
        <v>0</v>
      </c>
      <c r="K23" s="91">
        <f t="shared" ref="K23:M23" si="16">SUM(K22)</f>
        <v>0</v>
      </c>
      <c r="L23" s="168"/>
      <c r="M23" s="91">
        <f t="shared" si="16"/>
        <v>0</v>
      </c>
      <c r="N23" s="168"/>
      <c r="O23" s="168">
        <f t="shared" ref="O23" si="17">SUM(O22)</f>
        <v>0</v>
      </c>
      <c r="P23" s="168"/>
      <c r="Q23" s="168"/>
      <c r="R23" s="168">
        <f t="shared" ref="R23" si="18">SUM(R22)</f>
        <v>0</v>
      </c>
      <c r="S23" s="113"/>
    </row>
    <row r="24" spans="1:19" ht="25.5" x14ac:dyDescent="0.2">
      <c r="A24" s="24" t="s">
        <v>6</v>
      </c>
      <c r="B24" s="48" t="s">
        <v>104</v>
      </c>
      <c r="C24" s="88"/>
      <c r="D24" s="121"/>
      <c r="E24" s="88"/>
      <c r="F24" s="160"/>
      <c r="G24" s="75"/>
      <c r="H24" s="75"/>
      <c r="I24" s="75"/>
      <c r="J24" s="142"/>
      <c r="K24" s="75"/>
      <c r="L24" s="75"/>
      <c r="M24" s="75"/>
      <c r="N24" s="75"/>
      <c r="O24" s="75"/>
      <c r="P24" s="75"/>
      <c r="Q24" s="75"/>
      <c r="R24" s="75"/>
      <c r="S24" s="111"/>
    </row>
    <row r="25" spans="1:19" ht="24" x14ac:dyDescent="0.2">
      <c r="A25" s="67">
        <v>2211</v>
      </c>
      <c r="B25" s="66" t="s">
        <v>105</v>
      </c>
      <c r="C25" s="90" t="s">
        <v>5</v>
      </c>
      <c r="D25" s="124" t="s">
        <v>5</v>
      </c>
      <c r="E25" s="90" t="s">
        <v>5</v>
      </c>
      <c r="F25" s="89" t="s">
        <v>5</v>
      </c>
      <c r="G25" s="89" t="s">
        <v>5</v>
      </c>
      <c r="H25" s="89" t="s">
        <v>5</v>
      </c>
      <c r="I25" s="89" t="s">
        <v>5</v>
      </c>
      <c r="J25" s="143"/>
      <c r="K25" s="89" t="s">
        <v>5</v>
      </c>
      <c r="L25" s="89"/>
      <c r="M25" s="89" t="s">
        <v>5</v>
      </c>
      <c r="N25" s="89"/>
      <c r="O25" s="89" t="s">
        <v>5</v>
      </c>
      <c r="P25" s="89"/>
      <c r="Q25" s="89"/>
      <c r="R25" s="89" t="s">
        <v>5</v>
      </c>
      <c r="S25" s="109"/>
    </row>
    <row r="26" spans="1:19" x14ac:dyDescent="0.2">
      <c r="A26" s="3" t="s">
        <v>4</v>
      </c>
      <c r="B26" s="61" t="s">
        <v>117</v>
      </c>
      <c r="C26" s="91">
        <f t="shared" ref="C26:H26" si="19">SUM(C25)</f>
        <v>0</v>
      </c>
      <c r="D26" s="125">
        <f t="shared" si="19"/>
        <v>0</v>
      </c>
      <c r="E26" s="91">
        <f t="shared" si="19"/>
        <v>0</v>
      </c>
      <c r="F26" s="89">
        <f t="shared" si="19"/>
        <v>0</v>
      </c>
      <c r="G26" s="88">
        <f t="shared" si="19"/>
        <v>0</v>
      </c>
      <c r="H26" s="88">
        <f t="shared" si="19"/>
        <v>0</v>
      </c>
      <c r="I26" s="88">
        <f>SUM(I25)</f>
        <v>0</v>
      </c>
      <c r="J26" s="88">
        <f>SUM(J25)</f>
        <v>0</v>
      </c>
      <c r="K26" s="88">
        <f t="shared" ref="K26:M26" si="20">SUM(K25)</f>
        <v>0</v>
      </c>
      <c r="L26" s="88"/>
      <c r="M26" s="88">
        <f t="shared" si="20"/>
        <v>0</v>
      </c>
      <c r="N26" s="88"/>
      <c r="O26" s="88">
        <f t="shared" ref="O26" si="21">SUM(O25)</f>
        <v>0</v>
      </c>
      <c r="P26" s="88"/>
      <c r="Q26" s="88"/>
      <c r="R26" s="88">
        <f t="shared" ref="R26" si="22">SUM(R25)</f>
        <v>0</v>
      </c>
      <c r="S26" s="110"/>
    </row>
    <row r="27" spans="1:19" x14ac:dyDescent="0.2">
      <c r="A27" s="24" t="s">
        <v>7</v>
      </c>
      <c r="B27" s="48" t="s">
        <v>106</v>
      </c>
      <c r="C27" s="91"/>
      <c r="D27" s="125"/>
      <c r="E27" s="91"/>
      <c r="F27" s="161"/>
      <c r="G27" s="100"/>
      <c r="H27" s="100"/>
      <c r="I27" s="100"/>
      <c r="J27" s="142"/>
      <c r="K27" s="100"/>
      <c r="L27" s="100"/>
      <c r="M27" s="100"/>
      <c r="N27" s="100"/>
      <c r="O27" s="100"/>
      <c r="P27" s="100"/>
      <c r="Q27" s="100"/>
      <c r="R27" s="100"/>
      <c r="S27" s="111"/>
    </row>
    <row r="28" spans="1:19" x14ac:dyDescent="0.2">
      <c r="A28" s="63">
        <v>2311</v>
      </c>
      <c r="B28" s="66" t="s">
        <v>107</v>
      </c>
      <c r="C28" s="90" t="s">
        <v>5</v>
      </c>
      <c r="D28" s="124">
        <v>48682.31</v>
      </c>
      <c r="E28" s="90" t="s">
        <v>5</v>
      </c>
      <c r="F28" s="89" t="s">
        <v>5</v>
      </c>
      <c r="G28" s="89" t="s">
        <v>5</v>
      </c>
      <c r="H28" s="89" t="s">
        <v>5</v>
      </c>
      <c r="I28" s="89" t="s">
        <v>5</v>
      </c>
      <c r="J28" s="143"/>
      <c r="K28" s="89" t="s">
        <v>5</v>
      </c>
      <c r="L28" s="89"/>
      <c r="M28" s="89" t="s">
        <v>5</v>
      </c>
      <c r="N28" s="89"/>
      <c r="O28" s="89" t="s">
        <v>5</v>
      </c>
      <c r="P28" s="89"/>
      <c r="Q28" s="89"/>
      <c r="R28" s="89" t="s">
        <v>5</v>
      </c>
      <c r="S28" s="109"/>
    </row>
    <row r="29" spans="1:19" x14ac:dyDescent="0.2">
      <c r="A29" s="3" t="s">
        <v>4</v>
      </c>
      <c r="B29" s="61" t="s">
        <v>118</v>
      </c>
      <c r="C29" s="91">
        <f t="shared" ref="C29:I29" si="23">SUM(C28)</f>
        <v>0</v>
      </c>
      <c r="D29" s="125">
        <f t="shared" si="23"/>
        <v>48682.31</v>
      </c>
      <c r="E29" s="91">
        <f t="shared" si="23"/>
        <v>0</v>
      </c>
      <c r="F29" s="89">
        <f t="shared" si="23"/>
        <v>0</v>
      </c>
      <c r="G29" s="88">
        <f t="shared" si="23"/>
        <v>0</v>
      </c>
      <c r="H29" s="88">
        <f t="shared" si="23"/>
        <v>0</v>
      </c>
      <c r="I29" s="88">
        <f t="shared" si="23"/>
        <v>0</v>
      </c>
      <c r="J29" s="143"/>
      <c r="K29" s="88">
        <f t="shared" ref="K29:M29" si="24">SUM(K28)</f>
        <v>0</v>
      </c>
      <c r="L29" s="88"/>
      <c r="M29" s="88">
        <f t="shared" si="24"/>
        <v>0</v>
      </c>
      <c r="N29" s="88"/>
      <c r="O29" s="88">
        <f t="shared" ref="O29" si="25">SUM(O28)</f>
        <v>0</v>
      </c>
      <c r="P29" s="88"/>
      <c r="Q29" s="88"/>
      <c r="R29" s="88">
        <f t="shared" ref="R29" si="26">SUM(R28)</f>
        <v>0</v>
      </c>
      <c r="S29" s="110"/>
    </row>
    <row r="30" spans="1:19" x14ac:dyDescent="0.2">
      <c r="A30" s="3" t="s">
        <v>4</v>
      </c>
      <c r="B30" s="47" t="s">
        <v>119</v>
      </c>
      <c r="C30" s="91">
        <f t="shared" ref="C30:H30" si="27">C23+C26+C29</f>
        <v>0</v>
      </c>
      <c r="D30" s="125">
        <f t="shared" si="27"/>
        <v>48682.31</v>
      </c>
      <c r="E30" s="91">
        <f t="shared" si="27"/>
        <v>0</v>
      </c>
      <c r="F30" s="89">
        <f t="shared" si="27"/>
        <v>0</v>
      </c>
      <c r="G30" s="88">
        <f t="shared" si="27"/>
        <v>0</v>
      </c>
      <c r="H30" s="88">
        <f t="shared" si="27"/>
        <v>0</v>
      </c>
      <c r="I30" s="88">
        <f>I23+I26+I29</f>
        <v>0</v>
      </c>
      <c r="J30" s="143"/>
      <c r="K30" s="88">
        <f t="shared" ref="K30:M30" si="28">K23+K26+K29</f>
        <v>0</v>
      </c>
      <c r="L30" s="88"/>
      <c r="M30" s="88">
        <f t="shared" si="28"/>
        <v>0</v>
      </c>
      <c r="N30" s="88"/>
      <c r="O30" s="88">
        <f t="shared" ref="O30" si="29">O23+O26+O29</f>
        <v>0</v>
      </c>
      <c r="P30" s="88"/>
      <c r="Q30" s="88"/>
      <c r="R30" s="88">
        <f t="shared" ref="R30" si="30">R23+R26+R29</f>
        <v>0</v>
      </c>
      <c r="S30" s="112"/>
    </row>
    <row r="31" spans="1:19" ht="14.25" x14ac:dyDescent="0.2">
      <c r="A31" s="3" t="s">
        <v>4</v>
      </c>
      <c r="B31" s="62" t="s">
        <v>108</v>
      </c>
      <c r="C31" s="92">
        <f t="shared" ref="C31:M31" si="31">C19+C30</f>
        <v>50290174</v>
      </c>
      <c r="D31" s="126">
        <f t="shared" si="31"/>
        <v>46908682.310000002</v>
      </c>
      <c r="E31" s="92">
        <f t="shared" si="31"/>
        <v>49082170</v>
      </c>
      <c r="F31" s="96">
        <f t="shared" si="31"/>
        <v>50217720</v>
      </c>
      <c r="G31" s="96">
        <f t="shared" si="31"/>
        <v>47081000</v>
      </c>
      <c r="H31" s="96">
        <f t="shared" si="31"/>
        <v>1074377</v>
      </c>
      <c r="I31" s="96">
        <f t="shared" si="31"/>
        <v>2062343</v>
      </c>
      <c r="J31" s="96">
        <f t="shared" si="31"/>
        <v>0</v>
      </c>
      <c r="K31" s="96">
        <f t="shared" si="31"/>
        <v>50217720</v>
      </c>
      <c r="L31" s="96">
        <f t="shared" si="31"/>
        <v>-500000</v>
      </c>
      <c r="M31" s="96">
        <f t="shared" si="31"/>
        <v>49717720</v>
      </c>
      <c r="N31" s="96"/>
      <c r="O31" s="96">
        <f t="shared" ref="O31" si="32">O19+O30</f>
        <v>49717720</v>
      </c>
      <c r="P31" s="96"/>
      <c r="Q31" s="96"/>
      <c r="R31" s="96">
        <f t="shared" ref="R31" si="33">R19+R30</f>
        <v>49717720</v>
      </c>
      <c r="S31" s="112"/>
    </row>
    <row r="32" spans="1:19" s="1" customFormat="1" x14ac:dyDescent="0.2">
      <c r="A32" s="56"/>
      <c r="B32" s="57"/>
      <c r="C32" s="77"/>
      <c r="D32" s="127"/>
      <c r="E32" s="93"/>
      <c r="F32" s="77"/>
      <c r="G32" s="77"/>
      <c r="H32" s="77"/>
      <c r="I32" s="77"/>
      <c r="J32" s="144"/>
      <c r="K32" s="144"/>
      <c r="L32" s="144"/>
      <c r="M32" s="144"/>
      <c r="N32" s="144"/>
      <c r="O32" s="144"/>
      <c r="P32" s="144"/>
      <c r="Q32" s="144"/>
      <c r="R32" s="144"/>
      <c r="S32" s="57"/>
    </row>
    <row r="33" spans="1:19" s="18" customFormat="1" ht="15" x14ac:dyDescent="0.2">
      <c r="A33" s="20"/>
      <c r="B33" s="21" t="s">
        <v>8</v>
      </c>
      <c r="C33" s="78"/>
      <c r="D33" s="128"/>
      <c r="E33" s="78"/>
      <c r="F33" s="162"/>
      <c r="G33" s="78"/>
      <c r="H33" s="78"/>
      <c r="I33" s="78"/>
      <c r="J33" s="145"/>
      <c r="K33" s="145"/>
      <c r="L33" s="145"/>
      <c r="M33" s="145"/>
      <c r="N33" s="145"/>
      <c r="O33" s="145"/>
      <c r="P33" s="145"/>
      <c r="Q33" s="145"/>
      <c r="R33" s="145"/>
      <c r="S33" s="19"/>
    </row>
    <row r="34" spans="1:19" s="1" customFormat="1" ht="38.25" x14ac:dyDescent="0.2">
      <c r="A34" s="46" t="s">
        <v>29</v>
      </c>
      <c r="B34" s="22" t="s">
        <v>2</v>
      </c>
      <c r="C34" s="116" t="s">
        <v>168</v>
      </c>
      <c r="D34" s="117" t="s">
        <v>174</v>
      </c>
      <c r="E34" s="84" t="s">
        <v>182</v>
      </c>
      <c r="F34" s="101" t="s">
        <v>177</v>
      </c>
      <c r="G34" s="68" t="s">
        <v>154</v>
      </c>
      <c r="H34" s="68" t="s">
        <v>155</v>
      </c>
      <c r="I34" s="68" t="s">
        <v>173</v>
      </c>
      <c r="J34" s="167" t="s">
        <v>178</v>
      </c>
      <c r="K34" s="167" t="s">
        <v>179</v>
      </c>
      <c r="L34" s="169" t="s">
        <v>181</v>
      </c>
      <c r="M34" s="167" t="s">
        <v>180</v>
      </c>
      <c r="N34" s="167"/>
      <c r="O34" s="167"/>
      <c r="P34" s="167"/>
      <c r="Q34" s="167"/>
      <c r="R34" s="167"/>
      <c r="S34" s="103" t="s">
        <v>3</v>
      </c>
    </row>
    <row r="35" spans="1:19" ht="15" x14ac:dyDescent="0.2">
      <c r="A35" s="23">
        <v>1</v>
      </c>
      <c r="B35" s="25" t="s">
        <v>35</v>
      </c>
      <c r="C35" s="75"/>
      <c r="D35" s="129"/>
      <c r="E35" s="75"/>
      <c r="F35" s="160"/>
      <c r="G35" s="75"/>
      <c r="H35" s="75"/>
      <c r="I35" s="75"/>
      <c r="J35" s="142"/>
      <c r="K35" s="142"/>
      <c r="L35" s="142"/>
      <c r="M35" s="142"/>
      <c r="N35" s="142"/>
      <c r="O35" s="142"/>
      <c r="P35" s="142"/>
      <c r="Q35" s="142"/>
      <c r="R35" s="142"/>
      <c r="S35" s="104" t="s">
        <v>4</v>
      </c>
    </row>
    <row r="36" spans="1:19" x14ac:dyDescent="0.2">
      <c r="A36" s="24" t="s">
        <v>9</v>
      </c>
      <c r="B36" s="48" t="s">
        <v>36</v>
      </c>
      <c r="C36" s="75"/>
      <c r="D36" s="129"/>
      <c r="E36" s="75"/>
      <c r="F36" s="160"/>
      <c r="G36" s="75"/>
      <c r="H36" s="75"/>
      <c r="I36" s="75"/>
      <c r="J36" s="142"/>
      <c r="K36" s="142"/>
      <c r="L36" s="142"/>
      <c r="M36" s="142"/>
      <c r="N36" s="142"/>
      <c r="O36" s="142"/>
      <c r="P36" s="142"/>
      <c r="Q36" s="142"/>
      <c r="R36" s="142"/>
      <c r="S36" s="104" t="s">
        <v>4</v>
      </c>
    </row>
    <row r="37" spans="1:19" ht="24" x14ac:dyDescent="0.2">
      <c r="A37" s="6">
        <v>111</v>
      </c>
      <c r="B37" s="39" t="s">
        <v>21</v>
      </c>
      <c r="C37" s="75"/>
      <c r="D37" s="129"/>
      <c r="E37" s="75"/>
      <c r="F37" s="160"/>
      <c r="G37" s="75"/>
      <c r="H37" s="75"/>
      <c r="I37" s="75"/>
      <c r="J37" s="142"/>
      <c r="K37" s="142"/>
      <c r="L37" s="142"/>
      <c r="M37" s="142"/>
      <c r="N37" s="142"/>
      <c r="O37" s="142"/>
      <c r="P37" s="142"/>
      <c r="Q37" s="142"/>
      <c r="R37" s="142"/>
      <c r="S37" s="42"/>
    </row>
    <row r="38" spans="1:19" ht="174.75" customHeight="1" x14ac:dyDescent="0.2">
      <c r="A38" s="7">
        <v>1111</v>
      </c>
      <c r="B38" s="13" t="s">
        <v>37</v>
      </c>
      <c r="C38" s="79">
        <v>11280000</v>
      </c>
      <c r="D38" s="130">
        <v>11183151.02</v>
      </c>
      <c r="E38" s="80">
        <v>11865281.58</v>
      </c>
      <c r="F38" s="80">
        <f>13000000</f>
        <v>13000000</v>
      </c>
      <c r="G38" s="79">
        <f>F38-H38-I38</f>
        <v>13000000</v>
      </c>
      <c r="H38" s="80">
        <v>0</v>
      </c>
      <c r="I38" s="80">
        <v>0</v>
      </c>
      <c r="J38" s="146"/>
      <c r="K38" s="80">
        <f>13000000</f>
        <v>13000000</v>
      </c>
      <c r="L38" s="80">
        <f>M38-K38</f>
        <v>-378000</v>
      </c>
      <c r="M38" s="80">
        <f>12650000-23000-5000</f>
        <v>12622000</v>
      </c>
      <c r="N38" s="80">
        <f>(O38-M38)</f>
        <v>-70000</v>
      </c>
      <c r="O38" s="80">
        <v>12552000</v>
      </c>
      <c r="P38" s="80">
        <v>-30000</v>
      </c>
      <c r="Q38" s="80"/>
      <c r="R38" s="80">
        <f>12552000-30000</f>
        <v>12522000</v>
      </c>
      <c r="S38" s="11" t="s">
        <v>41</v>
      </c>
    </row>
    <row r="39" spans="1:19" ht="42" customHeight="1" x14ac:dyDescent="0.2">
      <c r="A39" s="7">
        <v>1112</v>
      </c>
      <c r="B39" s="50" t="s">
        <v>40</v>
      </c>
      <c r="C39" s="81" t="s">
        <v>5</v>
      </c>
      <c r="D39" s="130">
        <v>0</v>
      </c>
      <c r="E39" s="81" t="s">
        <v>5</v>
      </c>
      <c r="F39" s="81" t="s">
        <v>5</v>
      </c>
      <c r="G39" s="81" t="s">
        <v>5</v>
      </c>
      <c r="H39" s="81" t="s">
        <v>5</v>
      </c>
      <c r="I39" s="81" t="s">
        <v>5</v>
      </c>
      <c r="J39" s="146"/>
      <c r="K39" s="81" t="s">
        <v>5</v>
      </c>
      <c r="L39" s="81"/>
      <c r="M39" s="81" t="s">
        <v>5</v>
      </c>
      <c r="N39" s="81"/>
      <c r="O39" s="81" t="s">
        <v>5</v>
      </c>
      <c r="P39" s="81"/>
      <c r="Q39" s="81"/>
      <c r="R39" s="81" t="s">
        <v>5</v>
      </c>
      <c r="S39" s="11" t="s">
        <v>43</v>
      </c>
    </row>
    <row r="40" spans="1:19" x14ac:dyDescent="0.2">
      <c r="A40" s="8" t="s">
        <v>4</v>
      </c>
      <c r="B40" s="9" t="s">
        <v>120</v>
      </c>
      <c r="C40" s="91">
        <f>SUM(C38:C39)</f>
        <v>11280000</v>
      </c>
      <c r="D40" s="125">
        <f>D38+D39</f>
        <v>11183151.02</v>
      </c>
      <c r="E40" s="91">
        <f>SUM(E38:E39)</f>
        <v>11865281.58</v>
      </c>
      <c r="F40" s="90">
        <f>SUM(F38:F39)</f>
        <v>13000000</v>
      </c>
      <c r="G40" s="90">
        <f t="shared" ref="G40:J40" si="34">SUM(G38:G39)</f>
        <v>13000000</v>
      </c>
      <c r="H40" s="90">
        <f t="shared" si="34"/>
        <v>0</v>
      </c>
      <c r="I40" s="90">
        <f t="shared" si="34"/>
        <v>0</v>
      </c>
      <c r="J40" s="90">
        <f t="shared" si="34"/>
        <v>0</v>
      </c>
      <c r="K40" s="90">
        <f>SUM(K38:K39)</f>
        <v>13000000</v>
      </c>
      <c r="L40" s="90">
        <f t="shared" ref="L40:O40" si="35">SUM(L38:L39)</f>
        <v>-378000</v>
      </c>
      <c r="M40" s="90">
        <f t="shared" si="35"/>
        <v>12622000</v>
      </c>
      <c r="N40" s="90">
        <f t="shared" si="35"/>
        <v>-70000</v>
      </c>
      <c r="O40" s="90">
        <f t="shared" si="35"/>
        <v>12552000</v>
      </c>
      <c r="P40" s="90"/>
      <c r="Q40" s="90"/>
      <c r="R40" s="90">
        <f t="shared" ref="R40" si="36">SUM(R38:R39)</f>
        <v>12522000</v>
      </c>
      <c r="S40" s="40"/>
    </row>
    <row r="41" spans="1:19" x14ac:dyDescent="0.2">
      <c r="A41" s="6">
        <v>112</v>
      </c>
      <c r="B41" s="49" t="s">
        <v>38</v>
      </c>
      <c r="C41" s="76"/>
      <c r="D41" s="131"/>
      <c r="E41" s="76"/>
      <c r="F41" s="163"/>
      <c r="G41" s="76"/>
      <c r="H41" s="76"/>
      <c r="I41" s="76"/>
      <c r="J41" s="147"/>
      <c r="K41" s="163"/>
      <c r="L41" s="163"/>
      <c r="M41" s="163"/>
      <c r="N41" s="163"/>
      <c r="O41" s="163"/>
      <c r="P41" s="163"/>
      <c r="Q41" s="163"/>
      <c r="R41" s="163"/>
      <c r="S41" s="41"/>
    </row>
    <row r="42" spans="1:19" ht="180" x14ac:dyDescent="0.2">
      <c r="A42" s="7">
        <v>1121</v>
      </c>
      <c r="B42" s="13" t="s">
        <v>39</v>
      </c>
      <c r="C42" s="79">
        <v>16830000</v>
      </c>
      <c r="D42" s="130">
        <v>15610721.33</v>
      </c>
      <c r="E42" s="80">
        <v>16527628.109999999</v>
      </c>
      <c r="F42" s="80">
        <v>17900000</v>
      </c>
      <c r="G42" s="79">
        <f>F42-H42-I42</f>
        <v>16676068.376068376</v>
      </c>
      <c r="H42" s="80">
        <v>0</v>
      </c>
      <c r="I42" s="80">
        <f>(F42/351)*24</f>
        <v>1223931.623931624</v>
      </c>
      <c r="J42" s="146"/>
      <c r="K42" s="80">
        <v>17900000</v>
      </c>
      <c r="L42" s="80">
        <f>M42-K42</f>
        <v>-380000</v>
      </c>
      <c r="M42" s="80">
        <f>17550000-15000-15000</f>
        <v>17520000</v>
      </c>
      <c r="N42" s="80">
        <f>O42-M42</f>
        <v>-75679</v>
      </c>
      <c r="O42" s="80">
        <v>17444321</v>
      </c>
      <c r="P42" s="80"/>
      <c r="Q42" s="80"/>
      <c r="R42" s="80">
        <v>17444321</v>
      </c>
      <c r="S42" s="11" t="s">
        <v>42</v>
      </c>
    </row>
    <row r="43" spans="1:19" x14ac:dyDescent="0.2">
      <c r="A43" s="8" t="s">
        <v>4</v>
      </c>
      <c r="B43" s="9" t="s">
        <v>113</v>
      </c>
      <c r="C43" s="91">
        <f>SUM(C42)</f>
        <v>16830000</v>
      </c>
      <c r="D43" s="125">
        <f>SUM(D42)</f>
        <v>15610721.33</v>
      </c>
      <c r="E43" s="91">
        <f>SUM(E42)</f>
        <v>16527628.109999999</v>
      </c>
      <c r="F43" s="90">
        <f t="shared" ref="F43:J43" si="37">SUM(F42)</f>
        <v>17900000</v>
      </c>
      <c r="G43" s="90">
        <f t="shared" si="37"/>
        <v>16676068.376068376</v>
      </c>
      <c r="H43" s="90">
        <f t="shared" si="37"/>
        <v>0</v>
      </c>
      <c r="I43" s="90">
        <f t="shared" si="37"/>
        <v>1223931.623931624</v>
      </c>
      <c r="J43" s="90">
        <f t="shared" si="37"/>
        <v>0</v>
      </c>
      <c r="K43" s="90">
        <f t="shared" ref="K43:O43" si="38">SUM(K42)</f>
        <v>17900000</v>
      </c>
      <c r="L43" s="90">
        <f t="shared" si="38"/>
        <v>-380000</v>
      </c>
      <c r="M43" s="90">
        <f t="shared" si="38"/>
        <v>17520000</v>
      </c>
      <c r="N43" s="90">
        <f t="shared" si="38"/>
        <v>-75679</v>
      </c>
      <c r="O43" s="90">
        <f t="shared" si="38"/>
        <v>17444321</v>
      </c>
      <c r="P43" s="90"/>
      <c r="Q43" s="90"/>
      <c r="R43" s="90">
        <f t="shared" ref="R43" si="39">SUM(R42)</f>
        <v>17444321</v>
      </c>
      <c r="S43" s="40"/>
    </row>
    <row r="44" spans="1:19" x14ac:dyDescent="0.2">
      <c r="A44" s="6">
        <v>113</v>
      </c>
      <c r="B44" s="49" t="s">
        <v>46</v>
      </c>
      <c r="C44" s="76"/>
      <c r="D44" s="131"/>
      <c r="E44" s="76"/>
      <c r="F44" s="163"/>
      <c r="G44" s="76"/>
      <c r="H44" s="76"/>
      <c r="I44" s="76"/>
      <c r="J44" s="147"/>
      <c r="K44" s="163"/>
      <c r="L44" s="163"/>
      <c r="M44" s="163"/>
      <c r="N44" s="163"/>
      <c r="O44" s="163"/>
      <c r="P44" s="163"/>
      <c r="Q44" s="163"/>
      <c r="R44" s="163"/>
      <c r="S44" s="41"/>
    </row>
    <row r="45" spans="1:19" s="33" customFormat="1" ht="20.25" customHeight="1" x14ac:dyDescent="0.2">
      <c r="A45" s="31">
        <v>1131</v>
      </c>
      <c r="B45" s="13" t="s">
        <v>22</v>
      </c>
      <c r="C45" s="79">
        <v>2500000</v>
      </c>
      <c r="D45" s="130">
        <v>3086666.72</v>
      </c>
      <c r="E45" s="80">
        <v>3000000</v>
      </c>
      <c r="F45" s="80">
        <v>2100000</v>
      </c>
      <c r="G45" s="79">
        <f>F45-H45-I45</f>
        <v>1690243.9024390243</v>
      </c>
      <c r="H45" s="80">
        <f>(F45/41)*8</f>
        <v>409756.09756097558</v>
      </c>
      <c r="I45" s="80">
        <v>0</v>
      </c>
      <c r="J45" s="146"/>
      <c r="K45" s="80">
        <v>2100000</v>
      </c>
      <c r="L45" s="80">
        <f>M45-K45</f>
        <v>700000</v>
      </c>
      <c r="M45" s="80">
        <v>2800000</v>
      </c>
      <c r="N45" s="80"/>
      <c r="O45" s="80">
        <v>2800000</v>
      </c>
      <c r="P45" s="80">
        <v>30000</v>
      </c>
      <c r="Q45" s="80"/>
      <c r="R45" s="80">
        <f>2800000+30000</f>
        <v>2830000</v>
      </c>
      <c r="S45" s="11" t="s">
        <v>23</v>
      </c>
    </row>
    <row r="46" spans="1:19" ht="72" x14ac:dyDescent="0.2">
      <c r="A46" s="7">
        <v>1132</v>
      </c>
      <c r="B46" s="13" t="s">
        <v>10</v>
      </c>
      <c r="C46" s="79">
        <v>345000</v>
      </c>
      <c r="D46" s="130">
        <v>276217.2</v>
      </c>
      <c r="E46" s="79">
        <v>282844.79999999999</v>
      </c>
      <c r="F46" s="79">
        <v>295000</v>
      </c>
      <c r="G46" s="79">
        <f>F46-H46-I46</f>
        <v>295000</v>
      </c>
      <c r="H46" s="79">
        <v>0</v>
      </c>
      <c r="I46" s="79">
        <v>0</v>
      </c>
      <c r="J46" s="146"/>
      <c r="K46" s="79">
        <v>295000</v>
      </c>
      <c r="L46" s="80">
        <f>M46-K46</f>
        <v>0</v>
      </c>
      <c r="M46" s="79">
        <v>295000</v>
      </c>
      <c r="N46" s="79">
        <f>O46-M46</f>
        <v>-2821.1199999999953</v>
      </c>
      <c r="O46" s="79">
        <v>292178.88</v>
      </c>
      <c r="P46" s="79"/>
      <c r="Q46" s="79"/>
      <c r="R46" s="79">
        <v>292178.88</v>
      </c>
      <c r="S46" s="12" t="s">
        <v>18</v>
      </c>
    </row>
    <row r="47" spans="1:19" ht="45" customHeight="1" x14ac:dyDescent="0.2">
      <c r="A47" s="7">
        <v>1133</v>
      </c>
      <c r="B47" s="50" t="s">
        <v>44</v>
      </c>
      <c r="C47" s="81" t="s">
        <v>5</v>
      </c>
      <c r="D47" s="132" t="s">
        <v>5</v>
      </c>
      <c r="E47" s="81" t="s">
        <v>5</v>
      </c>
      <c r="F47" s="81" t="s">
        <v>5</v>
      </c>
      <c r="G47" s="81" t="s">
        <v>5</v>
      </c>
      <c r="H47" s="81" t="s">
        <v>5</v>
      </c>
      <c r="I47" s="81" t="s">
        <v>5</v>
      </c>
      <c r="J47" s="148"/>
      <c r="K47" s="81" t="s">
        <v>5</v>
      </c>
      <c r="L47" s="81"/>
      <c r="M47" s="81" t="s">
        <v>5</v>
      </c>
      <c r="N47" s="81"/>
      <c r="O47" s="81" t="s">
        <v>5</v>
      </c>
      <c r="P47" s="81"/>
      <c r="Q47" s="81"/>
      <c r="R47" s="81" t="s">
        <v>5</v>
      </c>
      <c r="S47" s="11" t="s">
        <v>45</v>
      </c>
    </row>
    <row r="48" spans="1:19" x14ac:dyDescent="0.2">
      <c r="A48" s="8" t="s">
        <v>4</v>
      </c>
      <c r="B48" s="9" t="s">
        <v>121</v>
      </c>
      <c r="C48" s="91">
        <f>SUM(C45:C47)</f>
        <v>2845000</v>
      </c>
      <c r="D48" s="125">
        <f>SUM(D45:D47)</f>
        <v>3362883.9200000004</v>
      </c>
      <c r="E48" s="91">
        <f>SUM(E45:E47)</f>
        <v>3282844.8</v>
      </c>
      <c r="F48" s="90">
        <f t="shared" ref="F48:J48" si="40">SUM(F45:F47)</f>
        <v>2395000</v>
      </c>
      <c r="G48" s="90">
        <f t="shared" si="40"/>
        <v>1985243.9024390243</v>
      </c>
      <c r="H48" s="90">
        <f t="shared" si="40"/>
        <v>409756.09756097558</v>
      </c>
      <c r="I48" s="90">
        <f t="shared" si="40"/>
        <v>0</v>
      </c>
      <c r="J48" s="90">
        <f t="shared" si="40"/>
        <v>0</v>
      </c>
      <c r="K48" s="90">
        <f t="shared" ref="K48:N48" si="41">SUM(K45:K47)</f>
        <v>2395000</v>
      </c>
      <c r="L48" s="90">
        <f t="shared" si="41"/>
        <v>700000</v>
      </c>
      <c r="M48" s="90">
        <f t="shared" si="41"/>
        <v>3095000</v>
      </c>
      <c r="N48" s="90">
        <f t="shared" si="41"/>
        <v>-2821.1199999999953</v>
      </c>
      <c r="O48" s="90">
        <f>SUM(O45:O47)</f>
        <v>3092178.88</v>
      </c>
      <c r="P48" s="90"/>
      <c r="Q48" s="90"/>
      <c r="R48" s="90">
        <f>SUM(R45:R47)</f>
        <v>3122178.88</v>
      </c>
      <c r="S48" s="40"/>
    </row>
    <row r="49" spans="1:19" x14ac:dyDescent="0.2">
      <c r="A49" s="8" t="s">
        <v>4</v>
      </c>
      <c r="B49" s="9" t="s">
        <v>11</v>
      </c>
      <c r="C49" s="91">
        <f>C40+C43+C48</f>
        <v>30955000</v>
      </c>
      <c r="D49" s="125">
        <f>D40+D43+D48</f>
        <v>30156756.270000003</v>
      </c>
      <c r="E49" s="91">
        <f>E40+E43+E48</f>
        <v>31675754.489999998</v>
      </c>
      <c r="F49" s="90">
        <f t="shared" ref="F49:J49" si="42">F40+F43+F48</f>
        <v>33295000</v>
      </c>
      <c r="G49" s="90">
        <f t="shared" si="42"/>
        <v>31661312.2785074</v>
      </c>
      <c r="H49" s="90">
        <f t="shared" si="42"/>
        <v>409756.09756097558</v>
      </c>
      <c r="I49" s="90">
        <f t="shared" si="42"/>
        <v>1223931.623931624</v>
      </c>
      <c r="J49" s="90">
        <f t="shared" si="42"/>
        <v>0</v>
      </c>
      <c r="K49" s="90">
        <f t="shared" ref="K49:N49" si="43">K40+K43+K48</f>
        <v>33295000</v>
      </c>
      <c r="L49" s="90">
        <f t="shared" si="43"/>
        <v>-58000</v>
      </c>
      <c r="M49" s="90">
        <f t="shared" si="43"/>
        <v>33237000</v>
      </c>
      <c r="N49" s="90">
        <f t="shared" si="43"/>
        <v>-148500.12</v>
      </c>
      <c r="O49" s="90">
        <f>O40+O43+O48</f>
        <v>33088499.879999999</v>
      </c>
      <c r="P49" s="90"/>
      <c r="Q49" s="90"/>
      <c r="R49" s="90">
        <f>R40+R43+R48</f>
        <v>33088499.879999999</v>
      </c>
      <c r="S49" s="8" t="s">
        <v>4</v>
      </c>
    </row>
    <row r="50" spans="1:19" ht="25.5" x14ac:dyDescent="0.2">
      <c r="A50" s="5">
        <v>12</v>
      </c>
      <c r="B50" s="44" t="s">
        <v>47</v>
      </c>
      <c r="C50" s="75"/>
      <c r="D50" s="129"/>
      <c r="E50" s="75"/>
      <c r="F50" s="160"/>
      <c r="G50" s="75"/>
      <c r="H50" s="75"/>
      <c r="I50" s="75"/>
      <c r="J50" s="142"/>
      <c r="K50" s="160"/>
      <c r="L50" s="160"/>
      <c r="M50" s="160"/>
      <c r="N50" s="160"/>
      <c r="O50" s="160"/>
      <c r="P50" s="160"/>
      <c r="Q50" s="160"/>
      <c r="R50" s="160"/>
      <c r="S50" s="104" t="s">
        <v>4</v>
      </c>
    </row>
    <row r="51" spans="1:19" x14ac:dyDescent="0.2">
      <c r="A51" s="6">
        <v>121</v>
      </c>
      <c r="B51" s="39" t="s">
        <v>58</v>
      </c>
      <c r="C51" s="76"/>
      <c r="D51" s="131"/>
      <c r="E51" s="76"/>
      <c r="F51" s="163"/>
      <c r="G51" s="76"/>
      <c r="H51" s="76"/>
      <c r="I51" s="76"/>
      <c r="J51" s="147"/>
      <c r="K51" s="163"/>
      <c r="L51" s="163"/>
      <c r="M51" s="163"/>
      <c r="N51" s="163"/>
      <c r="O51" s="163"/>
      <c r="P51" s="163"/>
      <c r="Q51" s="163"/>
      <c r="R51" s="163"/>
      <c r="S51" s="42"/>
    </row>
    <row r="52" spans="1:19" ht="77.25" customHeight="1" x14ac:dyDescent="0.2">
      <c r="A52" s="31">
        <v>1211</v>
      </c>
      <c r="B52" s="43" t="s">
        <v>52</v>
      </c>
      <c r="C52" s="79">
        <v>336000</v>
      </c>
      <c r="D52" s="130">
        <v>387011.99</v>
      </c>
      <c r="E52" s="79">
        <v>393500</v>
      </c>
      <c r="F52" s="79">
        <v>412000</v>
      </c>
      <c r="G52" s="79">
        <f>F52-H52-I52</f>
        <v>412000</v>
      </c>
      <c r="H52" s="79">
        <v>0</v>
      </c>
      <c r="I52" s="79">
        <v>0</v>
      </c>
      <c r="J52" s="146"/>
      <c r="K52" s="79">
        <v>412000</v>
      </c>
      <c r="L52" s="80">
        <f>M52-K52</f>
        <v>50000</v>
      </c>
      <c r="M52" s="79">
        <v>462000</v>
      </c>
      <c r="N52" s="79">
        <f>O52-M52</f>
        <v>-9000</v>
      </c>
      <c r="O52" s="79">
        <v>453000</v>
      </c>
      <c r="P52" s="79"/>
      <c r="Q52" s="79"/>
      <c r="R52" s="79">
        <v>453000</v>
      </c>
      <c r="S52" s="11" t="s">
        <v>63</v>
      </c>
    </row>
    <row r="53" spans="1:19" x14ac:dyDescent="0.2">
      <c r="A53" s="8" t="s">
        <v>4</v>
      </c>
      <c r="B53" s="9" t="s">
        <v>122</v>
      </c>
      <c r="C53" s="91">
        <f>SUM(C52)</f>
        <v>336000</v>
      </c>
      <c r="D53" s="125">
        <f>SUM(D52)</f>
        <v>387011.99</v>
      </c>
      <c r="E53" s="91">
        <f>SUM(E52)</f>
        <v>393500</v>
      </c>
      <c r="F53" s="90">
        <f t="shared" ref="F53:J53" si="44">SUM(F52)</f>
        <v>412000</v>
      </c>
      <c r="G53" s="90">
        <f t="shared" si="44"/>
        <v>412000</v>
      </c>
      <c r="H53" s="90">
        <f t="shared" si="44"/>
        <v>0</v>
      </c>
      <c r="I53" s="90">
        <f t="shared" si="44"/>
        <v>0</v>
      </c>
      <c r="J53" s="90">
        <f t="shared" si="44"/>
        <v>0</v>
      </c>
      <c r="K53" s="90">
        <f t="shared" ref="K53:O53" si="45">SUM(K52)</f>
        <v>412000</v>
      </c>
      <c r="L53" s="90">
        <f t="shared" si="45"/>
        <v>50000</v>
      </c>
      <c r="M53" s="90">
        <f t="shared" si="45"/>
        <v>462000</v>
      </c>
      <c r="N53" s="90">
        <f t="shared" si="45"/>
        <v>-9000</v>
      </c>
      <c r="O53" s="90">
        <f t="shared" si="45"/>
        <v>453000</v>
      </c>
      <c r="P53" s="90"/>
      <c r="Q53" s="90"/>
      <c r="R53" s="90">
        <f t="shared" ref="R53" si="46">SUM(R52)</f>
        <v>453000</v>
      </c>
      <c r="S53" s="40"/>
    </row>
    <row r="54" spans="1:19" x14ac:dyDescent="0.2">
      <c r="A54" s="6">
        <v>122</v>
      </c>
      <c r="B54" s="39" t="s">
        <v>57</v>
      </c>
      <c r="C54" s="76"/>
      <c r="D54" s="131"/>
      <c r="E54" s="76"/>
      <c r="F54" s="163"/>
      <c r="G54" s="76"/>
      <c r="H54" s="76"/>
      <c r="I54" s="76"/>
      <c r="J54" s="147"/>
      <c r="K54" s="163"/>
      <c r="L54" s="163"/>
      <c r="M54" s="163"/>
      <c r="N54" s="163"/>
      <c r="O54" s="163"/>
      <c r="P54" s="163"/>
      <c r="Q54" s="163"/>
      <c r="R54" s="163"/>
      <c r="S54" s="42"/>
    </row>
    <row r="55" spans="1:19" s="18" customFormat="1" ht="112.5" customHeight="1" x14ac:dyDescent="0.2">
      <c r="A55" s="36">
        <v>1221</v>
      </c>
      <c r="B55" s="37" t="s">
        <v>14</v>
      </c>
      <c r="C55" s="79">
        <v>400000</v>
      </c>
      <c r="D55" s="133">
        <v>318126.08000000002</v>
      </c>
      <c r="E55" s="80">
        <v>287500</v>
      </c>
      <c r="F55" s="80">
        <v>350000</v>
      </c>
      <c r="G55" s="79">
        <f>F55-H55-I55</f>
        <v>350000</v>
      </c>
      <c r="H55" s="80">
        <v>0</v>
      </c>
      <c r="I55" s="80">
        <v>0</v>
      </c>
      <c r="J55" s="149"/>
      <c r="K55" s="80">
        <v>350000</v>
      </c>
      <c r="L55" s="80">
        <f>M55-K55</f>
        <v>55000</v>
      </c>
      <c r="M55" s="80">
        <v>405000</v>
      </c>
      <c r="N55" s="170">
        <f>O55-M55</f>
        <v>-10000</v>
      </c>
      <c r="O55" s="170">
        <v>395000</v>
      </c>
      <c r="P55" s="170"/>
      <c r="Q55" s="170">
        <v>-10000</v>
      </c>
      <c r="R55" s="170">
        <v>385000</v>
      </c>
      <c r="S55" s="11" t="s">
        <v>24</v>
      </c>
    </row>
    <row r="56" spans="1:19" s="18" customFormat="1" ht="66" customHeight="1" x14ac:dyDescent="0.2">
      <c r="A56" s="36">
        <v>1222</v>
      </c>
      <c r="B56" s="13" t="s">
        <v>53</v>
      </c>
      <c r="C56" s="80" t="s">
        <v>5</v>
      </c>
      <c r="D56" s="133" t="s">
        <v>5</v>
      </c>
      <c r="E56" s="80" t="s">
        <v>5</v>
      </c>
      <c r="F56" s="80" t="s">
        <v>5</v>
      </c>
      <c r="G56" s="80" t="s">
        <v>5</v>
      </c>
      <c r="H56" s="80" t="s">
        <v>5</v>
      </c>
      <c r="I56" s="80" t="s">
        <v>5</v>
      </c>
      <c r="J56" s="149"/>
      <c r="K56" s="80" t="s">
        <v>5</v>
      </c>
      <c r="L56" s="80"/>
      <c r="M56" s="80" t="s">
        <v>5</v>
      </c>
      <c r="N56" s="80"/>
      <c r="O56" s="80" t="s">
        <v>5</v>
      </c>
      <c r="P56" s="80"/>
      <c r="Q56" s="80"/>
      <c r="R56" s="80" t="s">
        <v>5</v>
      </c>
      <c r="S56" s="11" t="s">
        <v>49</v>
      </c>
    </row>
    <row r="57" spans="1:19" x14ac:dyDescent="0.2">
      <c r="A57" s="8" t="s">
        <v>4</v>
      </c>
      <c r="B57" s="9" t="s">
        <v>123</v>
      </c>
      <c r="C57" s="91">
        <f t="shared" ref="C57:J57" si="47">SUM(C55:C56)</f>
        <v>400000</v>
      </c>
      <c r="D57" s="125">
        <f>SUM(D55:D56)</f>
        <v>318126.08000000002</v>
      </c>
      <c r="E57" s="91">
        <f>SUM(E55:E56)</f>
        <v>287500</v>
      </c>
      <c r="F57" s="90">
        <f t="shared" si="47"/>
        <v>350000</v>
      </c>
      <c r="G57" s="90">
        <f t="shared" si="47"/>
        <v>350000</v>
      </c>
      <c r="H57" s="90">
        <f t="shared" si="47"/>
        <v>0</v>
      </c>
      <c r="I57" s="90">
        <f t="shared" si="47"/>
        <v>0</v>
      </c>
      <c r="J57" s="90">
        <f t="shared" si="47"/>
        <v>0</v>
      </c>
      <c r="K57" s="90">
        <f t="shared" ref="K57:O57" si="48">SUM(K55:K56)</f>
        <v>350000</v>
      </c>
      <c r="L57" s="90">
        <f t="shared" si="48"/>
        <v>55000</v>
      </c>
      <c r="M57" s="90">
        <f t="shared" si="48"/>
        <v>405000</v>
      </c>
      <c r="N57" s="90">
        <f t="shared" si="48"/>
        <v>-10000</v>
      </c>
      <c r="O57" s="90">
        <f t="shared" si="48"/>
        <v>395000</v>
      </c>
      <c r="P57" s="90"/>
      <c r="Q57" s="90"/>
      <c r="R57" s="90">
        <f t="shared" ref="R57" si="49">SUM(R55:R56)</f>
        <v>385000</v>
      </c>
      <c r="S57" s="40"/>
    </row>
    <row r="58" spans="1:19" x14ac:dyDescent="0.2">
      <c r="A58" s="6">
        <v>123</v>
      </c>
      <c r="B58" s="39" t="s">
        <v>50</v>
      </c>
      <c r="C58" s="76"/>
      <c r="D58" s="131"/>
      <c r="E58" s="76"/>
      <c r="F58" s="163"/>
      <c r="G58" s="75"/>
      <c r="H58" s="75"/>
      <c r="I58" s="75"/>
      <c r="J58" s="147"/>
      <c r="K58" s="163"/>
      <c r="L58" s="163"/>
      <c r="M58" s="163"/>
      <c r="N58" s="163"/>
      <c r="O58" s="163"/>
      <c r="P58" s="163"/>
      <c r="Q58" s="163"/>
      <c r="R58" s="163"/>
      <c r="S58" s="42"/>
    </row>
    <row r="59" spans="1:19" ht="48" x14ac:dyDescent="0.2">
      <c r="A59" s="31">
        <v>1231</v>
      </c>
      <c r="B59" s="32" t="s">
        <v>13</v>
      </c>
      <c r="C59" s="79">
        <v>76000</v>
      </c>
      <c r="D59" s="130">
        <v>75000</v>
      </c>
      <c r="E59" s="79">
        <v>100000</v>
      </c>
      <c r="F59" s="79">
        <v>80000</v>
      </c>
      <c r="G59" s="79">
        <f>F59-H59-I59</f>
        <v>80000</v>
      </c>
      <c r="H59" s="79">
        <v>0</v>
      </c>
      <c r="I59" s="79">
        <v>0</v>
      </c>
      <c r="J59" s="146"/>
      <c r="K59" s="79">
        <v>80000</v>
      </c>
      <c r="L59" s="80">
        <f>M59-K59</f>
        <v>0</v>
      </c>
      <c r="M59" s="80">
        <v>80000</v>
      </c>
      <c r="N59" s="80">
        <f>O59-M59</f>
        <v>10000</v>
      </c>
      <c r="O59" s="80">
        <v>90000</v>
      </c>
      <c r="P59" s="80"/>
      <c r="Q59" s="80"/>
      <c r="R59" s="80">
        <v>90000</v>
      </c>
      <c r="S59" s="11" t="s">
        <v>59</v>
      </c>
    </row>
    <row r="60" spans="1:19" ht="57" customHeight="1" x14ac:dyDescent="0.2">
      <c r="A60" s="31">
        <v>1232</v>
      </c>
      <c r="B60" s="43" t="s">
        <v>60</v>
      </c>
      <c r="C60" s="79">
        <v>50000</v>
      </c>
      <c r="D60" s="130">
        <v>43000</v>
      </c>
      <c r="E60" s="79">
        <v>50000</v>
      </c>
      <c r="F60" s="79">
        <v>60000</v>
      </c>
      <c r="G60" s="79">
        <f>F60-H60-I60</f>
        <v>60000</v>
      </c>
      <c r="H60" s="79">
        <v>0</v>
      </c>
      <c r="I60" s="79">
        <v>0</v>
      </c>
      <c r="J60" s="146"/>
      <c r="K60" s="79">
        <v>60000</v>
      </c>
      <c r="L60" s="80">
        <f>M60-K60</f>
        <v>3000</v>
      </c>
      <c r="M60" s="79">
        <v>63000</v>
      </c>
      <c r="N60" s="79"/>
      <c r="O60" s="79">
        <v>63000</v>
      </c>
      <c r="P60" s="79"/>
      <c r="Q60" s="79"/>
      <c r="R60" s="79">
        <v>63000</v>
      </c>
      <c r="S60" s="11" t="s">
        <v>69</v>
      </c>
    </row>
    <row r="61" spans="1:19" ht="53.25" customHeight="1" x14ac:dyDescent="0.2">
      <c r="A61" s="31">
        <v>1233</v>
      </c>
      <c r="B61" s="43" t="s">
        <v>61</v>
      </c>
      <c r="C61" s="79">
        <v>570000</v>
      </c>
      <c r="D61" s="130">
        <v>788000</v>
      </c>
      <c r="E61" s="79">
        <v>713421.45</v>
      </c>
      <c r="F61" s="79">
        <v>700000</v>
      </c>
      <c r="G61" s="79">
        <f>F61-H61-I61</f>
        <v>700000</v>
      </c>
      <c r="H61" s="79">
        <v>0</v>
      </c>
      <c r="I61" s="79">
        <v>0</v>
      </c>
      <c r="J61" s="146"/>
      <c r="K61" s="79">
        <v>700000</v>
      </c>
      <c r="L61" s="80">
        <f>M61-K61</f>
        <v>-100000</v>
      </c>
      <c r="M61" s="79">
        <v>600000</v>
      </c>
      <c r="N61" s="79"/>
      <c r="O61" s="79">
        <v>600000</v>
      </c>
      <c r="P61" s="79"/>
      <c r="Q61" s="79">
        <v>168000</v>
      </c>
      <c r="R61" s="79">
        <v>768000</v>
      </c>
      <c r="S61" s="11" t="s">
        <v>62</v>
      </c>
    </row>
    <row r="62" spans="1:19" x14ac:dyDescent="0.2">
      <c r="A62" s="6"/>
      <c r="B62" s="9" t="s">
        <v>124</v>
      </c>
      <c r="C62" s="88">
        <f t="shared" ref="C62:J62" si="50">SUM(C59:C61)</f>
        <v>696000</v>
      </c>
      <c r="D62" s="121">
        <f>SUM(D59:D61)</f>
        <v>906000</v>
      </c>
      <c r="E62" s="88">
        <f>SUM(E59:E61)</f>
        <v>863421.45</v>
      </c>
      <c r="F62" s="89">
        <f t="shared" si="50"/>
        <v>840000</v>
      </c>
      <c r="G62" s="89">
        <f t="shared" si="50"/>
        <v>840000</v>
      </c>
      <c r="H62" s="89">
        <f t="shared" si="50"/>
        <v>0</v>
      </c>
      <c r="I62" s="89">
        <f t="shared" si="50"/>
        <v>0</v>
      </c>
      <c r="J62" s="89">
        <f t="shared" si="50"/>
        <v>0</v>
      </c>
      <c r="K62" s="89">
        <f t="shared" ref="K62:O62" si="51">SUM(K59:K61)</f>
        <v>840000</v>
      </c>
      <c r="L62" s="89">
        <f t="shared" si="51"/>
        <v>-97000</v>
      </c>
      <c r="M62" s="89">
        <f t="shared" si="51"/>
        <v>743000</v>
      </c>
      <c r="N62" s="89">
        <f t="shared" si="51"/>
        <v>10000</v>
      </c>
      <c r="O62" s="89">
        <f t="shared" si="51"/>
        <v>753000</v>
      </c>
      <c r="P62" s="89"/>
      <c r="Q62" s="89"/>
      <c r="R62" s="89">
        <f t="shared" ref="R62" si="52">SUM(R59:R61)</f>
        <v>921000</v>
      </c>
      <c r="S62" s="42"/>
    </row>
    <row r="63" spans="1:19" x14ac:dyDescent="0.2">
      <c r="A63" s="6">
        <v>124</v>
      </c>
      <c r="B63" s="39" t="s">
        <v>54</v>
      </c>
      <c r="C63" s="76"/>
      <c r="D63" s="131"/>
      <c r="E63" s="76"/>
      <c r="F63" s="163"/>
      <c r="G63" s="75"/>
      <c r="H63" s="75"/>
      <c r="I63" s="75"/>
      <c r="J63" s="147"/>
      <c r="K63" s="163"/>
      <c r="L63" s="163"/>
      <c r="M63" s="163"/>
      <c r="N63" s="163"/>
      <c r="O63" s="163"/>
      <c r="P63" s="163"/>
      <c r="Q63" s="163"/>
      <c r="R63" s="163"/>
      <c r="S63" s="42"/>
    </row>
    <row r="64" spans="1:19" ht="77.25" customHeight="1" x14ac:dyDescent="0.2">
      <c r="A64" s="31">
        <v>1241</v>
      </c>
      <c r="B64" s="43" t="s">
        <v>55</v>
      </c>
      <c r="C64" s="79">
        <v>55000</v>
      </c>
      <c r="D64" s="130">
        <v>36787.82</v>
      </c>
      <c r="E64" s="79">
        <v>45171.7</v>
      </c>
      <c r="F64" s="79">
        <v>40000</v>
      </c>
      <c r="G64" s="79">
        <f>F64-H64-I64</f>
        <v>40000</v>
      </c>
      <c r="H64" s="79">
        <v>0</v>
      </c>
      <c r="I64" s="79">
        <v>0</v>
      </c>
      <c r="J64" s="146"/>
      <c r="K64" s="79">
        <v>40000</v>
      </c>
      <c r="L64" s="80">
        <f>M64-K64</f>
        <v>-15000</v>
      </c>
      <c r="M64" s="79">
        <v>25000</v>
      </c>
      <c r="N64" s="171">
        <f>O64-M64</f>
        <v>42500</v>
      </c>
      <c r="O64" s="171">
        <v>67500</v>
      </c>
      <c r="P64" s="171"/>
      <c r="Q64" s="171"/>
      <c r="R64" s="171">
        <v>67500</v>
      </c>
      <c r="S64" s="11" t="s">
        <v>56</v>
      </c>
    </row>
    <row r="65" spans="1:19" x14ac:dyDescent="0.2">
      <c r="A65" s="8" t="s">
        <v>4</v>
      </c>
      <c r="B65" s="9" t="s">
        <v>125</v>
      </c>
      <c r="C65" s="91">
        <f>SUM(C64)</f>
        <v>55000</v>
      </c>
      <c r="D65" s="125">
        <f>SUM(D64)</f>
        <v>36787.82</v>
      </c>
      <c r="E65" s="91">
        <f>SUM(E64)</f>
        <v>45171.7</v>
      </c>
      <c r="F65" s="90">
        <f t="shared" ref="F65:J65" si="53">SUM(F64)</f>
        <v>40000</v>
      </c>
      <c r="G65" s="90">
        <f t="shared" si="53"/>
        <v>40000</v>
      </c>
      <c r="H65" s="90">
        <f t="shared" si="53"/>
        <v>0</v>
      </c>
      <c r="I65" s="90">
        <f t="shared" si="53"/>
        <v>0</v>
      </c>
      <c r="J65" s="90">
        <f t="shared" si="53"/>
        <v>0</v>
      </c>
      <c r="K65" s="90">
        <f t="shared" ref="K65:O65" si="54">SUM(K64)</f>
        <v>40000</v>
      </c>
      <c r="L65" s="90">
        <f t="shared" si="54"/>
        <v>-15000</v>
      </c>
      <c r="M65" s="90">
        <f t="shared" si="54"/>
        <v>25000</v>
      </c>
      <c r="N65" s="90">
        <f t="shared" si="54"/>
        <v>42500</v>
      </c>
      <c r="O65" s="90">
        <f t="shared" si="54"/>
        <v>67500</v>
      </c>
      <c r="P65" s="90"/>
      <c r="Q65" s="90"/>
      <c r="R65" s="90">
        <f t="shared" ref="R65" si="55">SUM(R64)</f>
        <v>67500</v>
      </c>
      <c r="S65" s="40"/>
    </row>
    <row r="66" spans="1:19" x14ac:dyDescent="0.2">
      <c r="A66" s="8" t="s">
        <v>4</v>
      </c>
      <c r="B66" s="10" t="s">
        <v>126</v>
      </c>
      <c r="C66" s="88">
        <f>C53+C57+C62+C65</f>
        <v>1487000</v>
      </c>
      <c r="D66" s="121">
        <f>D53+D57+D62+D65</f>
        <v>1647925.8900000001</v>
      </c>
      <c r="E66" s="88">
        <f>E53+E57+E62+E65</f>
        <v>1589593.15</v>
      </c>
      <c r="F66" s="89">
        <f t="shared" ref="F66:J66" si="56">F53+F57+F62+F65</f>
        <v>1642000</v>
      </c>
      <c r="G66" s="89">
        <f t="shared" si="56"/>
        <v>1642000</v>
      </c>
      <c r="H66" s="89">
        <f t="shared" si="56"/>
        <v>0</v>
      </c>
      <c r="I66" s="89">
        <f t="shared" si="56"/>
        <v>0</v>
      </c>
      <c r="J66" s="89">
        <f t="shared" si="56"/>
        <v>0</v>
      </c>
      <c r="K66" s="89">
        <f t="shared" ref="K66:O66" si="57">K53+K57+K62+K65</f>
        <v>1642000</v>
      </c>
      <c r="L66" s="89">
        <f t="shared" si="57"/>
        <v>-7000</v>
      </c>
      <c r="M66" s="89">
        <f t="shared" si="57"/>
        <v>1635000</v>
      </c>
      <c r="N66" s="89">
        <f t="shared" si="57"/>
        <v>33500</v>
      </c>
      <c r="O66" s="89">
        <f t="shared" si="57"/>
        <v>1668500</v>
      </c>
      <c r="P66" s="89"/>
      <c r="Q66" s="89"/>
      <c r="R66" s="89">
        <f t="shared" ref="R66" si="58">R53+R57+R62+R65</f>
        <v>1826500</v>
      </c>
      <c r="S66" s="8" t="s">
        <v>4</v>
      </c>
    </row>
    <row r="67" spans="1:19" s="30" customFormat="1" x14ac:dyDescent="0.2">
      <c r="A67" s="29" t="s">
        <v>4</v>
      </c>
      <c r="B67" s="47" t="s">
        <v>115</v>
      </c>
      <c r="C67" s="94">
        <f>C49+C66</f>
        <v>32442000</v>
      </c>
      <c r="D67" s="123">
        <f>D49+D66</f>
        <v>31804682.160000004</v>
      </c>
      <c r="E67" s="89">
        <f>E49+E66</f>
        <v>33265347.639999997</v>
      </c>
      <c r="F67" s="89">
        <f t="shared" ref="F67:J67" si="59">F49+F66</f>
        <v>34937000</v>
      </c>
      <c r="G67" s="89">
        <f t="shared" si="59"/>
        <v>33303312.2785074</v>
      </c>
      <c r="H67" s="89">
        <f t="shared" si="59"/>
        <v>409756.09756097558</v>
      </c>
      <c r="I67" s="89">
        <f t="shared" si="59"/>
        <v>1223931.623931624</v>
      </c>
      <c r="J67" s="89">
        <f t="shared" si="59"/>
        <v>0</v>
      </c>
      <c r="K67" s="89">
        <f t="shared" ref="K67:O67" si="60">K49+K66</f>
        <v>34937000</v>
      </c>
      <c r="L67" s="89">
        <f t="shared" si="60"/>
        <v>-65000</v>
      </c>
      <c r="M67" s="89">
        <f t="shared" si="60"/>
        <v>34872000</v>
      </c>
      <c r="N67" s="89">
        <f t="shared" si="60"/>
        <v>-115000.12</v>
      </c>
      <c r="O67" s="89">
        <f t="shared" si="60"/>
        <v>34756999.879999995</v>
      </c>
      <c r="P67" s="89"/>
      <c r="Q67" s="89"/>
      <c r="R67" s="89">
        <f t="shared" ref="R67" si="61">R49+R66</f>
        <v>34914999.879999995</v>
      </c>
      <c r="S67" s="108" t="s">
        <v>4</v>
      </c>
    </row>
    <row r="68" spans="1:19" ht="30" x14ac:dyDescent="0.2">
      <c r="A68" s="4">
        <v>2</v>
      </c>
      <c r="B68" s="25" t="s">
        <v>25</v>
      </c>
      <c r="C68" s="75"/>
      <c r="D68" s="129"/>
      <c r="E68" s="75"/>
      <c r="F68" s="160"/>
      <c r="G68" s="75"/>
      <c r="H68" s="75"/>
      <c r="I68" s="75"/>
      <c r="J68" s="142"/>
      <c r="K68" s="160"/>
      <c r="L68" s="160"/>
      <c r="M68" s="160"/>
      <c r="N68" s="160"/>
      <c r="O68" s="160"/>
      <c r="P68" s="160"/>
      <c r="Q68" s="160"/>
      <c r="R68" s="160"/>
      <c r="S68" s="104" t="s">
        <v>4</v>
      </c>
    </row>
    <row r="69" spans="1:19" x14ac:dyDescent="0.2">
      <c r="A69" s="5">
        <v>21</v>
      </c>
      <c r="B69" s="44" t="s">
        <v>64</v>
      </c>
      <c r="C69" s="75"/>
      <c r="D69" s="129"/>
      <c r="E69" s="75"/>
      <c r="F69" s="160"/>
      <c r="G69" s="75"/>
      <c r="H69" s="75"/>
      <c r="I69" s="75"/>
      <c r="J69" s="142"/>
      <c r="K69" s="160"/>
      <c r="L69" s="160"/>
      <c r="M69" s="160"/>
      <c r="N69" s="160"/>
      <c r="O69" s="160"/>
      <c r="P69" s="160"/>
      <c r="Q69" s="160"/>
      <c r="R69" s="160"/>
      <c r="S69" s="104" t="s">
        <v>4</v>
      </c>
    </row>
    <row r="70" spans="1:19" x14ac:dyDescent="0.2">
      <c r="A70" s="6">
        <v>211</v>
      </c>
      <c r="B70" s="39" t="s">
        <v>67</v>
      </c>
      <c r="C70" s="76"/>
      <c r="D70" s="131"/>
      <c r="E70" s="76"/>
      <c r="F70" s="163"/>
      <c r="G70" s="75"/>
      <c r="H70" s="75"/>
      <c r="I70" s="75"/>
      <c r="J70" s="147"/>
      <c r="K70" s="163"/>
      <c r="L70" s="163"/>
      <c r="M70" s="163"/>
      <c r="N70" s="163"/>
      <c r="O70" s="163"/>
      <c r="P70" s="163"/>
      <c r="Q70" s="163"/>
      <c r="R70" s="163"/>
      <c r="S70" s="42"/>
    </row>
    <row r="71" spans="1:19" ht="48" x14ac:dyDescent="0.2">
      <c r="A71" s="31">
        <v>2111</v>
      </c>
      <c r="B71" s="43" t="s">
        <v>65</v>
      </c>
      <c r="C71" s="79">
        <v>3617077</v>
      </c>
      <c r="D71" s="130">
        <v>2155577.25</v>
      </c>
      <c r="E71" s="79">
        <v>2500000</v>
      </c>
      <c r="F71" s="79">
        <v>3600000</v>
      </c>
      <c r="G71" s="79">
        <f>F71-H71-I71</f>
        <v>3600000</v>
      </c>
      <c r="H71" s="79">
        <v>0</v>
      </c>
      <c r="I71" s="79">
        <v>0</v>
      </c>
      <c r="J71" s="79">
        <f>K71-F71</f>
        <v>-65000</v>
      </c>
      <c r="K71" s="79">
        <v>3535000</v>
      </c>
      <c r="L71" s="80">
        <f>M71-K71</f>
        <v>-353000</v>
      </c>
      <c r="M71" s="79">
        <v>3182000</v>
      </c>
      <c r="N71" s="79"/>
      <c r="O71" s="79">
        <v>3182000</v>
      </c>
      <c r="P71" s="79"/>
      <c r="Q71" s="79"/>
      <c r="R71" s="79">
        <v>3182000</v>
      </c>
      <c r="S71" s="11" t="s">
        <v>66</v>
      </c>
    </row>
    <row r="72" spans="1:19" ht="197.25" customHeight="1" x14ac:dyDescent="0.2">
      <c r="A72" s="31">
        <v>2112</v>
      </c>
      <c r="B72" s="43" t="s">
        <v>87</v>
      </c>
      <c r="C72" s="79">
        <v>3445000</v>
      </c>
      <c r="D72" s="130">
        <v>2982879.96</v>
      </c>
      <c r="E72" s="79">
        <v>3421450</v>
      </c>
      <c r="F72" s="79">
        <f>2300000+5830+20890</f>
        <v>2326720</v>
      </c>
      <c r="G72" s="79">
        <f>F72-H72-I72</f>
        <v>2326720</v>
      </c>
      <c r="H72" s="79">
        <v>0</v>
      </c>
      <c r="I72" s="79">
        <v>0</v>
      </c>
      <c r="J72" s="146"/>
      <c r="K72" s="79">
        <f>2300000+5830+20890</f>
        <v>2326720</v>
      </c>
      <c r="L72" s="80">
        <f>M72-K72</f>
        <v>-50000</v>
      </c>
      <c r="M72" s="79">
        <v>2276720</v>
      </c>
      <c r="N72" s="79"/>
      <c r="O72" s="79">
        <v>2276720</v>
      </c>
      <c r="P72" s="79"/>
      <c r="Q72" s="79"/>
      <c r="R72" s="79">
        <v>2276720</v>
      </c>
      <c r="S72" s="11" t="s">
        <v>86</v>
      </c>
    </row>
    <row r="73" spans="1:19" x14ac:dyDescent="0.2">
      <c r="A73" s="8" t="s">
        <v>4</v>
      </c>
      <c r="B73" s="9" t="s">
        <v>127</v>
      </c>
      <c r="C73" s="91">
        <f t="shared" ref="C73:J73" si="62">SUM(C71:C72)</f>
        <v>7062077</v>
      </c>
      <c r="D73" s="125">
        <f>SUM(D71:D72)</f>
        <v>5138457.21</v>
      </c>
      <c r="E73" s="91">
        <f>SUM(E71:E72)</f>
        <v>5921450</v>
      </c>
      <c r="F73" s="90">
        <f t="shared" si="62"/>
        <v>5926720</v>
      </c>
      <c r="G73" s="90">
        <f t="shared" si="62"/>
        <v>5926720</v>
      </c>
      <c r="H73" s="90">
        <f t="shared" si="62"/>
        <v>0</v>
      </c>
      <c r="I73" s="90">
        <f t="shared" si="62"/>
        <v>0</v>
      </c>
      <c r="J73" s="90">
        <f t="shared" si="62"/>
        <v>-65000</v>
      </c>
      <c r="K73" s="90">
        <f t="shared" ref="K73:O73" si="63">SUM(K71:K72)</f>
        <v>5861720</v>
      </c>
      <c r="L73" s="90">
        <f t="shared" si="63"/>
        <v>-403000</v>
      </c>
      <c r="M73" s="90">
        <f t="shared" si="63"/>
        <v>5458720</v>
      </c>
      <c r="N73" s="90"/>
      <c r="O73" s="90">
        <f t="shared" si="63"/>
        <v>5458720</v>
      </c>
      <c r="P73" s="90"/>
      <c r="Q73" s="90"/>
      <c r="R73" s="90">
        <f t="shared" ref="R73" si="64">SUM(R71:R72)</f>
        <v>5458720</v>
      </c>
      <c r="S73" s="40"/>
    </row>
    <row r="74" spans="1:19" x14ac:dyDescent="0.2">
      <c r="A74" s="6">
        <v>212</v>
      </c>
      <c r="B74" s="39" t="s">
        <v>83</v>
      </c>
      <c r="C74" s="76"/>
      <c r="D74" s="131"/>
      <c r="E74" s="76"/>
      <c r="F74" s="163"/>
      <c r="G74" s="75"/>
      <c r="H74" s="75"/>
      <c r="I74" s="75"/>
      <c r="J74" s="147"/>
      <c r="K74" s="163"/>
      <c r="L74" s="163"/>
      <c r="M74" s="163"/>
      <c r="N74" s="163"/>
      <c r="O74" s="163"/>
      <c r="P74" s="163"/>
      <c r="Q74" s="163"/>
      <c r="R74" s="163"/>
      <c r="S74" s="42"/>
    </row>
    <row r="75" spans="1:19" ht="60" x14ac:dyDescent="0.2">
      <c r="A75" s="31">
        <v>2121</v>
      </c>
      <c r="B75" s="43" t="s">
        <v>84</v>
      </c>
      <c r="C75" s="79">
        <v>12000</v>
      </c>
      <c r="D75" s="130">
        <v>0</v>
      </c>
      <c r="E75" s="79">
        <v>51000</v>
      </c>
      <c r="F75" s="79">
        <v>40000</v>
      </c>
      <c r="G75" s="79">
        <f>F75-H75-I75</f>
        <v>40000</v>
      </c>
      <c r="H75" s="79">
        <v>0</v>
      </c>
      <c r="I75" s="79">
        <v>0</v>
      </c>
      <c r="J75" s="79">
        <f>K75-F75</f>
        <v>65000</v>
      </c>
      <c r="K75" s="79">
        <v>105000</v>
      </c>
      <c r="L75" s="80">
        <f>M75-K75</f>
        <v>20000</v>
      </c>
      <c r="M75" s="79">
        <v>125000</v>
      </c>
      <c r="N75" s="79"/>
      <c r="O75" s="79">
        <v>125000</v>
      </c>
      <c r="P75" s="79"/>
      <c r="Q75" s="79"/>
      <c r="R75" s="79">
        <v>125000</v>
      </c>
      <c r="S75" s="42" t="s">
        <v>85</v>
      </c>
    </row>
    <row r="76" spans="1:19" x14ac:dyDescent="0.2">
      <c r="A76" s="8" t="s">
        <v>4</v>
      </c>
      <c r="B76" s="9" t="s">
        <v>128</v>
      </c>
      <c r="C76" s="91">
        <f>SUM(C75)</f>
        <v>12000</v>
      </c>
      <c r="D76" s="125">
        <f>SUM(D75)</f>
        <v>0</v>
      </c>
      <c r="E76" s="91">
        <f>SUM(E75)</f>
        <v>51000</v>
      </c>
      <c r="F76" s="90">
        <f t="shared" ref="F76:J76" si="65">SUM(F75)</f>
        <v>40000</v>
      </c>
      <c r="G76" s="90">
        <f t="shared" si="65"/>
        <v>40000</v>
      </c>
      <c r="H76" s="90">
        <f t="shared" si="65"/>
        <v>0</v>
      </c>
      <c r="I76" s="90">
        <f t="shared" si="65"/>
        <v>0</v>
      </c>
      <c r="J76" s="90">
        <f t="shared" si="65"/>
        <v>65000</v>
      </c>
      <c r="K76" s="90">
        <f t="shared" ref="K76:O76" si="66">SUM(K75)</f>
        <v>105000</v>
      </c>
      <c r="L76" s="90">
        <f t="shared" si="66"/>
        <v>20000</v>
      </c>
      <c r="M76" s="90">
        <f t="shared" si="66"/>
        <v>125000</v>
      </c>
      <c r="N76" s="90"/>
      <c r="O76" s="90">
        <f t="shared" si="66"/>
        <v>125000</v>
      </c>
      <c r="P76" s="90"/>
      <c r="Q76" s="90"/>
      <c r="R76" s="90">
        <f t="shared" ref="R76" si="67">SUM(R75)</f>
        <v>125000</v>
      </c>
      <c r="S76" s="40"/>
    </row>
    <row r="77" spans="1:19" x14ac:dyDescent="0.2">
      <c r="A77" s="8" t="s">
        <v>4</v>
      </c>
      <c r="B77" s="10" t="s">
        <v>116</v>
      </c>
      <c r="C77" s="88">
        <f>C73+C76</f>
        <v>7074077</v>
      </c>
      <c r="D77" s="121">
        <f>D73+D76</f>
        <v>5138457.21</v>
      </c>
      <c r="E77" s="88">
        <f>E73+E76</f>
        <v>5972450</v>
      </c>
      <c r="F77" s="89">
        <f t="shared" ref="F77:J77" si="68">F73+F76</f>
        <v>5966720</v>
      </c>
      <c r="G77" s="89">
        <f t="shared" si="68"/>
        <v>5966720</v>
      </c>
      <c r="H77" s="89">
        <f t="shared" si="68"/>
        <v>0</v>
      </c>
      <c r="I77" s="89">
        <f t="shared" si="68"/>
        <v>0</v>
      </c>
      <c r="J77" s="89">
        <f t="shared" si="68"/>
        <v>0</v>
      </c>
      <c r="K77" s="89">
        <f t="shared" ref="K77:O77" si="69">K73+K76</f>
        <v>5966720</v>
      </c>
      <c r="L77" s="89">
        <f t="shared" si="69"/>
        <v>-383000</v>
      </c>
      <c r="M77" s="89">
        <f t="shared" si="69"/>
        <v>5583720</v>
      </c>
      <c r="N77" s="89"/>
      <c r="O77" s="89">
        <f t="shared" si="69"/>
        <v>5583720</v>
      </c>
      <c r="P77" s="89"/>
      <c r="Q77" s="89"/>
      <c r="R77" s="89">
        <f t="shared" ref="R77" si="70">R73+R76</f>
        <v>5583720</v>
      </c>
      <c r="S77" s="8" t="s">
        <v>4</v>
      </c>
    </row>
    <row r="78" spans="1:19" ht="30.75" customHeight="1" x14ac:dyDescent="0.2">
      <c r="A78" s="16">
        <v>22</v>
      </c>
      <c r="B78" s="52" t="s">
        <v>68</v>
      </c>
      <c r="C78" s="82"/>
      <c r="D78" s="134"/>
      <c r="E78" s="82"/>
      <c r="F78" s="164"/>
      <c r="G78" s="82"/>
      <c r="H78" s="82"/>
      <c r="I78" s="82"/>
      <c r="J78" s="150"/>
      <c r="K78" s="164"/>
      <c r="L78" s="164"/>
      <c r="M78" s="164"/>
      <c r="N78" s="164"/>
      <c r="O78" s="164"/>
      <c r="P78" s="164"/>
      <c r="Q78" s="164"/>
      <c r="R78" s="164"/>
      <c r="S78" s="114" t="s">
        <v>4</v>
      </c>
    </row>
    <row r="79" spans="1:19" x14ac:dyDescent="0.2">
      <c r="A79" s="6">
        <v>221</v>
      </c>
      <c r="B79" s="39" t="s">
        <v>144</v>
      </c>
      <c r="C79" s="75"/>
      <c r="D79" s="129"/>
      <c r="E79" s="75"/>
      <c r="F79" s="160"/>
      <c r="G79" s="75"/>
      <c r="H79" s="75"/>
      <c r="I79" s="75"/>
      <c r="J79" s="142"/>
      <c r="K79" s="160"/>
      <c r="L79" s="160"/>
      <c r="M79" s="160"/>
      <c r="N79" s="160"/>
      <c r="O79" s="160"/>
      <c r="P79" s="160"/>
      <c r="Q79" s="160"/>
      <c r="R79" s="160"/>
      <c r="S79" s="104" t="s">
        <v>4</v>
      </c>
    </row>
    <row r="80" spans="1:19" ht="60" x14ac:dyDescent="0.2">
      <c r="A80" s="7">
        <v>2211</v>
      </c>
      <c r="B80" s="13" t="s">
        <v>73</v>
      </c>
      <c r="C80" s="79">
        <v>290000</v>
      </c>
      <c r="D80" s="130">
        <v>363572.24</v>
      </c>
      <c r="E80" s="79">
        <v>523412.89</v>
      </c>
      <c r="F80" s="79">
        <v>280000</v>
      </c>
      <c r="G80" s="79">
        <f>F80-H80-I80</f>
        <v>280000</v>
      </c>
      <c r="H80" s="79">
        <v>0</v>
      </c>
      <c r="I80" s="79">
        <v>0</v>
      </c>
      <c r="J80" s="146"/>
      <c r="K80" s="79">
        <v>280000</v>
      </c>
      <c r="L80" s="80">
        <f>M80-K80</f>
        <v>0</v>
      </c>
      <c r="M80" s="79">
        <v>280000</v>
      </c>
      <c r="N80" s="79"/>
      <c r="O80" s="79">
        <v>280000</v>
      </c>
      <c r="P80" s="79">
        <f>-5000
+130000</f>
        <v>125000</v>
      </c>
      <c r="Q80" s="79"/>
      <c r="R80" s="79">
        <v>405000</v>
      </c>
      <c r="S80" s="13" t="s">
        <v>71</v>
      </c>
    </row>
    <row r="81" spans="1:19" ht="70.5" customHeight="1" x14ac:dyDescent="0.2">
      <c r="A81" s="7">
        <v>2212</v>
      </c>
      <c r="B81" s="13" t="s">
        <v>72</v>
      </c>
      <c r="C81" s="79">
        <v>786000</v>
      </c>
      <c r="D81" s="130">
        <v>584243.18999999994</v>
      </c>
      <c r="E81" s="79">
        <v>664422.17000000004</v>
      </c>
      <c r="F81" s="79">
        <v>370000</v>
      </c>
      <c r="G81" s="79">
        <f>F81-H81-I81</f>
        <v>370000</v>
      </c>
      <c r="H81" s="79">
        <v>0</v>
      </c>
      <c r="I81" s="79">
        <v>0</v>
      </c>
      <c r="J81" s="79">
        <f>K81-F81</f>
        <v>100000</v>
      </c>
      <c r="K81" s="79">
        <v>470000</v>
      </c>
      <c r="L81" s="80">
        <f>M81-K81</f>
        <v>0</v>
      </c>
      <c r="M81" s="79">
        <v>470000</v>
      </c>
      <c r="N81" s="79"/>
      <c r="O81" s="79">
        <v>470000</v>
      </c>
      <c r="P81" s="79">
        <v>5000</v>
      </c>
      <c r="Q81" s="79"/>
      <c r="R81" s="79">
        <v>475000</v>
      </c>
      <c r="S81" s="13" t="s">
        <v>26</v>
      </c>
    </row>
    <row r="82" spans="1:19" x14ac:dyDescent="0.2">
      <c r="A82" s="8" t="s">
        <v>4</v>
      </c>
      <c r="B82" s="9" t="s">
        <v>129</v>
      </c>
      <c r="C82" s="91">
        <f t="shared" ref="C82:J82" si="71">SUM(C80:C81)</f>
        <v>1076000</v>
      </c>
      <c r="D82" s="125">
        <f>SUM(D80:D81)</f>
        <v>947815.42999999993</v>
      </c>
      <c r="E82" s="91">
        <f>SUM(E80:E81)</f>
        <v>1187835.06</v>
      </c>
      <c r="F82" s="90">
        <f t="shared" si="71"/>
        <v>650000</v>
      </c>
      <c r="G82" s="90">
        <f t="shared" si="71"/>
        <v>650000</v>
      </c>
      <c r="H82" s="90">
        <f t="shared" si="71"/>
        <v>0</v>
      </c>
      <c r="I82" s="90">
        <f t="shared" si="71"/>
        <v>0</v>
      </c>
      <c r="J82" s="90">
        <f t="shared" si="71"/>
        <v>100000</v>
      </c>
      <c r="K82" s="90">
        <f t="shared" ref="K82:O82" si="72">SUM(K80:K81)</f>
        <v>750000</v>
      </c>
      <c r="L82" s="90">
        <f t="shared" si="72"/>
        <v>0</v>
      </c>
      <c r="M82" s="90">
        <f t="shared" si="72"/>
        <v>750000</v>
      </c>
      <c r="N82" s="90"/>
      <c r="O82" s="90">
        <f t="shared" si="72"/>
        <v>750000</v>
      </c>
      <c r="P82" s="79"/>
      <c r="Q82" s="79"/>
      <c r="R82" s="90">
        <f t="shared" ref="R82" si="73">SUM(R80:R81)</f>
        <v>880000</v>
      </c>
      <c r="S82" s="40"/>
    </row>
    <row r="83" spans="1:19" x14ac:dyDescent="0.2">
      <c r="A83" s="6">
        <v>222</v>
      </c>
      <c r="B83" s="39" t="s">
        <v>74</v>
      </c>
      <c r="C83" s="75"/>
      <c r="D83" s="129"/>
      <c r="E83" s="75"/>
      <c r="F83" s="160"/>
      <c r="G83" s="75"/>
      <c r="H83" s="75"/>
      <c r="I83" s="75"/>
      <c r="J83" s="142"/>
      <c r="K83" s="160"/>
      <c r="L83" s="160"/>
      <c r="M83" s="160"/>
      <c r="N83" s="160"/>
      <c r="O83" s="160"/>
      <c r="P83" s="79"/>
      <c r="Q83" s="79"/>
      <c r="R83" s="160"/>
      <c r="S83" s="104" t="s">
        <v>4</v>
      </c>
    </row>
    <row r="84" spans="1:19" ht="68.25" customHeight="1" x14ac:dyDescent="0.2">
      <c r="A84" s="7">
        <v>2221</v>
      </c>
      <c r="B84" s="13" t="s">
        <v>20</v>
      </c>
      <c r="C84" s="79">
        <v>2528000</v>
      </c>
      <c r="D84" s="130">
        <v>2151622.1800000002</v>
      </c>
      <c r="E84" s="79">
        <v>2179719.4300000002</v>
      </c>
      <c r="F84" s="79">
        <v>2400000</v>
      </c>
      <c r="G84" s="79">
        <f>F84-H84-I84</f>
        <v>2400000</v>
      </c>
      <c r="H84" s="79">
        <v>0</v>
      </c>
      <c r="I84" s="79">
        <v>0</v>
      </c>
      <c r="J84" s="79">
        <f>K84-F84</f>
        <v>-100000</v>
      </c>
      <c r="K84" s="79">
        <v>2300000</v>
      </c>
      <c r="L84" s="80">
        <f>M84-K84</f>
        <v>0</v>
      </c>
      <c r="M84" s="79">
        <v>2300000</v>
      </c>
      <c r="N84" s="79"/>
      <c r="O84" s="79">
        <v>2300000</v>
      </c>
      <c r="P84" s="79">
        <v>-130000</v>
      </c>
      <c r="Q84" s="79"/>
      <c r="R84" s="79">
        <v>2170000</v>
      </c>
      <c r="S84" s="13" t="s">
        <v>81</v>
      </c>
    </row>
    <row r="85" spans="1:19" x14ac:dyDescent="0.2">
      <c r="A85" s="8" t="s">
        <v>4</v>
      </c>
      <c r="B85" s="9" t="s">
        <v>130</v>
      </c>
      <c r="C85" s="88">
        <f>SUM(C84)</f>
        <v>2528000</v>
      </c>
      <c r="D85" s="121">
        <f>SUM(D84)</f>
        <v>2151622.1800000002</v>
      </c>
      <c r="E85" s="88">
        <f>SUM(E84)</f>
        <v>2179719.4300000002</v>
      </c>
      <c r="F85" s="89">
        <f t="shared" ref="F85:J85" si="74">SUM(F84)</f>
        <v>2400000</v>
      </c>
      <c r="G85" s="89">
        <f t="shared" si="74"/>
        <v>2400000</v>
      </c>
      <c r="H85" s="89">
        <f t="shared" si="74"/>
        <v>0</v>
      </c>
      <c r="I85" s="89">
        <f t="shared" si="74"/>
        <v>0</v>
      </c>
      <c r="J85" s="89">
        <f t="shared" si="74"/>
        <v>-100000</v>
      </c>
      <c r="K85" s="89">
        <f t="shared" ref="K85:O85" si="75">SUM(K84)</f>
        <v>2300000</v>
      </c>
      <c r="L85" s="89">
        <f t="shared" si="75"/>
        <v>0</v>
      </c>
      <c r="M85" s="89">
        <f t="shared" si="75"/>
        <v>2300000</v>
      </c>
      <c r="N85" s="89"/>
      <c r="O85" s="89">
        <f t="shared" si="75"/>
        <v>2300000</v>
      </c>
      <c r="P85" s="89"/>
      <c r="Q85" s="89"/>
      <c r="R85" s="89">
        <f t="shared" ref="R85" si="76">SUM(R84)</f>
        <v>2170000</v>
      </c>
      <c r="S85" s="8" t="s">
        <v>4</v>
      </c>
    </row>
    <row r="86" spans="1:19" x14ac:dyDescent="0.2">
      <c r="A86" s="8" t="s">
        <v>4</v>
      </c>
      <c r="B86" s="9" t="s">
        <v>117</v>
      </c>
      <c r="C86" s="88">
        <f>C82+C85</f>
        <v>3604000</v>
      </c>
      <c r="D86" s="121">
        <f>D82+D85</f>
        <v>3099437.6100000003</v>
      </c>
      <c r="E86" s="88">
        <f>E82+E85</f>
        <v>3367554.49</v>
      </c>
      <c r="F86" s="89">
        <f t="shared" ref="F86:J86" si="77">F82+F85</f>
        <v>3050000</v>
      </c>
      <c r="G86" s="89">
        <f t="shared" si="77"/>
        <v>3050000</v>
      </c>
      <c r="H86" s="89">
        <f t="shared" si="77"/>
        <v>0</v>
      </c>
      <c r="I86" s="89">
        <f t="shared" si="77"/>
        <v>0</v>
      </c>
      <c r="J86" s="89">
        <f t="shared" si="77"/>
        <v>0</v>
      </c>
      <c r="K86" s="89">
        <f t="shared" ref="K86:O86" si="78">K82+K85</f>
        <v>3050000</v>
      </c>
      <c r="L86" s="89">
        <f t="shared" si="78"/>
        <v>0</v>
      </c>
      <c r="M86" s="89">
        <f t="shared" si="78"/>
        <v>3050000</v>
      </c>
      <c r="N86" s="89"/>
      <c r="O86" s="89">
        <f t="shared" si="78"/>
        <v>3050000</v>
      </c>
      <c r="P86" s="89"/>
      <c r="Q86" s="89"/>
      <c r="R86" s="89">
        <f t="shared" ref="R86" si="79">R82+R85</f>
        <v>3050000</v>
      </c>
      <c r="S86" s="8" t="s">
        <v>4</v>
      </c>
    </row>
    <row r="87" spans="1:19" ht="25.5" x14ac:dyDescent="0.2">
      <c r="A87" s="5">
        <v>23</v>
      </c>
      <c r="B87" s="44" t="s">
        <v>80</v>
      </c>
      <c r="C87" s="75"/>
      <c r="D87" s="129"/>
      <c r="E87" s="75"/>
      <c r="F87" s="160"/>
      <c r="G87" s="75"/>
      <c r="H87" s="75"/>
      <c r="I87" s="75"/>
      <c r="J87" s="142"/>
      <c r="K87" s="160"/>
      <c r="L87" s="160"/>
      <c r="M87" s="160"/>
      <c r="N87" s="160"/>
      <c r="O87" s="160"/>
      <c r="P87" s="160"/>
      <c r="Q87" s="160"/>
      <c r="R87" s="160"/>
      <c r="S87" s="104" t="s">
        <v>4</v>
      </c>
    </row>
    <row r="88" spans="1:19" x14ac:dyDescent="0.2">
      <c r="A88" s="6">
        <v>231</v>
      </c>
      <c r="B88" s="53" t="s">
        <v>75</v>
      </c>
      <c r="C88" s="75"/>
      <c r="D88" s="129"/>
      <c r="E88" s="75"/>
      <c r="F88" s="160"/>
      <c r="G88" s="75"/>
      <c r="H88" s="75"/>
      <c r="I88" s="75"/>
      <c r="J88" s="142"/>
      <c r="K88" s="160"/>
      <c r="L88" s="160"/>
      <c r="M88" s="160"/>
      <c r="N88" s="160"/>
      <c r="O88" s="160"/>
      <c r="P88" s="160"/>
      <c r="Q88" s="160"/>
      <c r="R88" s="160"/>
      <c r="S88" s="104" t="s">
        <v>4</v>
      </c>
    </row>
    <row r="89" spans="1:19" ht="71.25" customHeight="1" x14ac:dyDescent="0.2">
      <c r="A89" s="7">
        <v>2311</v>
      </c>
      <c r="B89" s="11" t="s">
        <v>76</v>
      </c>
      <c r="C89" s="79">
        <v>13000</v>
      </c>
      <c r="D89" s="130">
        <v>7830.24</v>
      </c>
      <c r="E89" s="79">
        <v>19858.86</v>
      </c>
      <c r="F89" s="79">
        <v>25000</v>
      </c>
      <c r="G89" s="79">
        <f>F89-H89-I89</f>
        <v>25000</v>
      </c>
      <c r="H89" s="79">
        <v>0</v>
      </c>
      <c r="I89" s="79">
        <v>0</v>
      </c>
      <c r="J89" s="79">
        <f>K89-F89</f>
        <v>35000</v>
      </c>
      <c r="K89" s="79">
        <v>60000</v>
      </c>
      <c r="L89" s="80">
        <f>M89-K89</f>
        <v>50000</v>
      </c>
      <c r="M89" s="79">
        <f>80000+15000+15000</f>
        <v>110000</v>
      </c>
      <c r="N89" s="79"/>
      <c r="O89" s="79">
        <f>80000+15000+15000</f>
        <v>110000</v>
      </c>
      <c r="P89" s="79"/>
      <c r="Q89" s="79"/>
      <c r="R89" s="79">
        <f>80000+15000+15000</f>
        <v>110000</v>
      </c>
      <c r="S89" s="13" t="s">
        <v>77</v>
      </c>
    </row>
    <row r="90" spans="1:19" ht="24" x14ac:dyDescent="0.2">
      <c r="A90" s="31">
        <v>2312</v>
      </c>
      <c r="B90" s="43" t="s">
        <v>79</v>
      </c>
      <c r="C90" s="79">
        <v>190000</v>
      </c>
      <c r="D90" s="130">
        <v>27572.1</v>
      </c>
      <c r="E90" s="79">
        <v>299989.98</v>
      </c>
      <c r="F90" s="79">
        <v>20000</v>
      </c>
      <c r="G90" s="79">
        <f>F90-H90-I90</f>
        <v>20000</v>
      </c>
      <c r="H90" s="79">
        <v>0</v>
      </c>
      <c r="I90" s="79">
        <v>0</v>
      </c>
      <c r="J90" s="146"/>
      <c r="K90" s="79">
        <v>20000</v>
      </c>
      <c r="L90" s="80">
        <f>M90-K90</f>
        <v>0</v>
      </c>
      <c r="M90" s="79">
        <v>20000</v>
      </c>
      <c r="N90" s="79"/>
      <c r="O90" s="79">
        <v>20000</v>
      </c>
      <c r="P90" s="79"/>
      <c r="Q90" s="79"/>
      <c r="R90" s="79">
        <v>20000</v>
      </c>
      <c r="S90" s="11" t="s">
        <v>156</v>
      </c>
    </row>
    <row r="91" spans="1:19" x14ac:dyDescent="0.2">
      <c r="A91" s="8" t="s">
        <v>4</v>
      </c>
      <c r="B91" s="9" t="s">
        <v>132</v>
      </c>
      <c r="C91" s="88">
        <f t="shared" ref="C91:J91" si="80">SUM(C89:C90)</f>
        <v>203000</v>
      </c>
      <c r="D91" s="121">
        <f>SUM(D89:D90)</f>
        <v>35402.339999999997</v>
      </c>
      <c r="E91" s="88">
        <f>SUM(E89:E90)</f>
        <v>319848.83999999997</v>
      </c>
      <c r="F91" s="89">
        <f t="shared" si="80"/>
        <v>45000</v>
      </c>
      <c r="G91" s="89">
        <f t="shared" si="80"/>
        <v>45000</v>
      </c>
      <c r="H91" s="89">
        <f t="shared" si="80"/>
        <v>0</v>
      </c>
      <c r="I91" s="89">
        <f t="shared" si="80"/>
        <v>0</v>
      </c>
      <c r="J91" s="89">
        <f t="shared" si="80"/>
        <v>35000</v>
      </c>
      <c r="K91" s="89">
        <f t="shared" ref="K91:O91" si="81">SUM(K89:K90)</f>
        <v>80000</v>
      </c>
      <c r="L91" s="89">
        <f t="shared" si="81"/>
        <v>50000</v>
      </c>
      <c r="M91" s="89">
        <f t="shared" si="81"/>
        <v>130000</v>
      </c>
      <c r="N91" s="89"/>
      <c r="O91" s="89">
        <f t="shared" si="81"/>
        <v>130000</v>
      </c>
      <c r="P91" s="89"/>
      <c r="Q91" s="89"/>
      <c r="R91" s="89">
        <f t="shared" ref="R91" si="82">SUM(R89:R90)</f>
        <v>130000</v>
      </c>
      <c r="S91" s="8" t="s">
        <v>4</v>
      </c>
    </row>
    <row r="92" spans="1:19" x14ac:dyDescent="0.2">
      <c r="A92" s="45" t="s">
        <v>16</v>
      </c>
      <c r="B92" s="39" t="s">
        <v>82</v>
      </c>
      <c r="C92" s="75"/>
      <c r="D92" s="129"/>
      <c r="E92" s="75"/>
      <c r="F92" s="160"/>
      <c r="G92" s="75"/>
      <c r="H92" s="75"/>
      <c r="I92" s="75"/>
      <c r="J92" s="142"/>
      <c r="K92" s="160"/>
      <c r="L92" s="160"/>
      <c r="M92" s="160"/>
      <c r="N92" s="160"/>
      <c r="O92" s="160"/>
      <c r="P92" s="160"/>
      <c r="Q92" s="160"/>
      <c r="R92" s="160"/>
      <c r="S92" s="104" t="s">
        <v>4</v>
      </c>
    </row>
    <row r="93" spans="1:19" ht="55.5" customHeight="1" x14ac:dyDescent="0.2">
      <c r="A93" s="31">
        <v>2321</v>
      </c>
      <c r="B93" s="32" t="s">
        <v>15</v>
      </c>
      <c r="C93" s="79">
        <v>96000</v>
      </c>
      <c r="D93" s="130">
        <v>75000</v>
      </c>
      <c r="E93" s="79">
        <v>75000</v>
      </c>
      <c r="F93" s="79">
        <v>85000</v>
      </c>
      <c r="G93" s="79">
        <f>F93-H93-I93</f>
        <v>85000</v>
      </c>
      <c r="H93" s="79">
        <v>0</v>
      </c>
      <c r="I93" s="79">
        <v>0</v>
      </c>
      <c r="J93" s="79">
        <f>K93-F93</f>
        <v>-35000</v>
      </c>
      <c r="K93" s="79">
        <v>50000</v>
      </c>
      <c r="L93" s="80">
        <f>M93-K93</f>
        <v>35000</v>
      </c>
      <c r="M93" s="79">
        <v>85000</v>
      </c>
      <c r="N93" s="79"/>
      <c r="O93" s="79">
        <v>85000</v>
      </c>
      <c r="P93" s="79"/>
      <c r="Q93" s="79"/>
      <c r="R93" s="79">
        <v>85000</v>
      </c>
      <c r="S93" s="13" t="s">
        <v>78</v>
      </c>
    </row>
    <row r="94" spans="1:19" ht="63.75" customHeight="1" x14ac:dyDescent="0.2">
      <c r="A94" s="31">
        <v>2322</v>
      </c>
      <c r="B94" s="32" t="s">
        <v>17</v>
      </c>
      <c r="C94" s="79">
        <v>71000</v>
      </c>
      <c r="D94" s="130">
        <v>50000</v>
      </c>
      <c r="E94" s="79">
        <v>45000</v>
      </c>
      <c r="F94" s="79">
        <v>50000</v>
      </c>
      <c r="G94" s="79">
        <f>F94-H94-I94</f>
        <v>50000</v>
      </c>
      <c r="H94" s="79">
        <v>0</v>
      </c>
      <c r="I94" s="79">
        <v>0</v>
      </c>
      <c r="J94" s="79"/>
      <c r="K94" s="79">
        <v>50000</v>
      </c>
      <c r="L94" s="80">
        <f>M94-K94</f>
        <v>10000</v>
      </c>
      <c r="M94" s="79">
        <v>60000</v>
      </c>
      <c r="N94" s="79"/>
      <c r="O94" s="79">
        <v>60000</v>
      </c>
      <c r="P94" s="79"/>
      <c r="Q94" s="79"/>
      <c r="R94" s="79">
        <v>60000</v>
      </c>
      <c r="S94" s="11" t="s">
        <v>30</v>
      </c>
    </row>
    <row r="95" spans="1:19" x14ac:dyDescent="0.2">
      <c r="A95" s="8" t="s">
        <v>4</v>
      </c>
      <c r="B95" s="9" t="s">
        <v>131</v>
      </c>
      <c r="C95" s="88">
        <f t="shared" ref="C95:J95" si="83">SUM(C93:C94)</f>
        <v>167000</v>
      </c>
      <c r="D95" s="121">
        <f>SUM(D93:D94)</f>
        <v>125000</v>
      </c>
      <c r="E95" s="88">
        <f>SUM(E93:E94)</f>
        <v>120000</v>
      </c>
      <c r="F95" s="89">
        <f t="shared" si="83"/>
        <v>135000</v>
      </c>
      <c r="G95" s="89">
        <f t="shared" si="83"/>
        <v>135000</v>
      </c>
      <c r="H95" s="89">
        <f t="shared" si="83"/>
        <v>0</v>
      </c>
      <c r="I95" s="89">
        <f t="shared" si="83"/>
        <v>0</v>
      </c>
      <c r="J95" s="89">
        <f t="shared" si="83"/>
        <v>-35000</v>
      </c>
      <c r="K95" s="89">
        <f t="shared" ref="K95:O95" si="84">SUM(K93:K94)</f>
        <v>100000</v>
      </c>
      <c r="L95" s="89">
        <f t="shared" si="84"/>
        <v>45000</v>
      </c>
      <c r="M95" s="89">
        <f t="shared" si="84"/>
        <v>145000</v>
      </c>
      <c r="N95" s="89"/>
      <c r="O95" s="89">
        <f t="shared" si="84"/>
        <v>145000</v>
      </c>
      <c r="P95" s="89"/>
      <c r="Q95" s="89"/>
      <c r="R95" s="89">
        <f t="shared" ref="R95" si="85">SUM(R93:R94)</f>
        <v>145000</v>
      </c>
      <c r="S95" s="8" t="s">
        <v>4</v>
      </c>
    </row>
    <row r="96" spans="1:19" x14ac:dyDescent="0.2">
      <c r="A96" s="6">
        <v>233</v>
      </c>
      <c r="B96" s="51" t="s">
        <v>88</v>
      </c>
      <c r="C96" s="75"/>
      <c r="D96" s="129"/>
      <c r="E96" s="75"/>
      <c r="F96" s="160"/>
      <c r="G96" s="75"/>
      <c r="H96" s="75"/>
      <c r="I96" s="75"/>
      <c r="J96" s="142"/>
      <c r="K96" s="160"/>
      <c r="L96" s="160"/>
      <c r="M96" s="160"/>
      <c r="N96" s="160"/>
      <c r="O96" s="160"/>
      <c r="P96" s="160"/>
      <c r="Q96" s="160"/>
      <c r="R96" s="160"/>
      <c r="S96" s="11"/>
    </row>
    <row r="97" spans="1:19" ht="78" customHeight="1" x14ac:dyDescent="0.2">
      <c r="A97" s="31">
        <v>2331</v>
      </c>
      <c r="B97" s="43" t="s">
        <v>91</v>
      </c>
      <c r="C97" s="79">
        <v>54000</v>
      </c>
      <c r="D97" s="133">
        <v>44921.75</v>
      </c>
      <c r="E97" s="80">
        <v>38885.93</v>
      </c>
      <c r="F97" s="80">
        <v>45000</v>
      </c>
      <c r="G97" s="79">
        <f>F97-H97-I97</f>
        <v>45000</v>
      </c>
      <c r="H97" s="80">
        <v>0</v>
      </c>
      <c r="I97" s="80">
        <v>0</v>
      </c>
      <c r="J97" s="149"/>
      <c r="K97" s="80">
        <v>45000</v>
      </c>
      <c r="L97" s="80">
        <f>M97-K97</f>
        <v>62000</v>
      </c>
      <c r="M97" s="80">
        <v>107000</v>
      </c>
      <c r="N97" s="80"/>
      <c r="O97" s="80">
        <v>107000</v>
      </c>
      <c r="P97" s="80"/>
      <c r="Q97" s="80"/>
      <c r="R97" s="80">
        <v>107000</v>
      </c>
      <c r="S97" s="11" t="s">
        <v>92</v>
      </c>
    </row>
    <row r="98" spans="1:19" x14ac:dyDescent="0.2">
      <c r="A98" s="8" t="s">
        <v>4</v>
      </c>
      <c r="B98" s="9" t="s">
        <v>134</v>
      </c>
      <c r="C98" s="88">
        <f t="shared" ref="C98:J98" si="86">SUM(C97)</f>
        <v>54000</v>
      </c>
      <c r="D98" s="121">
        <f>SUM(D97)</f>
        <v>44921.75</v>
      </c>
      <c r="E98" s="88">
        <f>SUM(E97)</f>
        <v>38885.93</v>
      </c>
      <c r="F98" s="89">
        <f t="shared" si="86"/>
        <v>45000</v>
      </c>
      <c r="G98" s="89">
        <f t="shared" si="86"/>
        <v>45000</v>
      </c>
      <c r="H98" s="89">
        <f t="shared" si="86"/>
        <v>0</v>
      </c>
      <c r="I98" s="89">
        <f t="shared" si="86"/>
        <v>0</v>
      </c>
      <c r="J98" s="89">
        <f t="shared" si="86"/>
        <v>0</v>
      </c>
      <c r="K98" s="89">
        <f t="shared" ref="K98:O98" si="87">SUM(K97)</f>
        <v>45000</v>
      </c>
      <c r="L98" s="89">
        <f t="shared" si="87"/>
        <v>62000</v>
      </c>
      <c r="M98" s="89">
        <f t="shared" si="87"/>
        <v>107000</v>
      </c>
      <c r="N98" s="89"/>
      <c r="O98" s="89">
        <f t="shared" si="87"/>
        <v>107000</v>
      </c>
      <c r="P98" s="89"/>
      <c r="Q98" s="89"/>
      <c r="R98" s="89">
        <f t="shared" ref="R98" si="88">SUM(R97)</f>
        <v>107000</v>
      </c>
      <c r="S98" s="11"/>
    </row>
    <row r="99" spans="1:19" x14ac:dyDescent="0.2">
      <c r="A99" s="6">
        <v>234</v>
      </c>
      <c r="B99" s="39" t="s">
        <v>70</v>
      </c>
      <c r="C99" s="75"/>
      <c r="D99" s="129"/>
      <c r="E99" s="75"/>
      <c r="F99" s="160"/>
      <c r="G99" s="75"/>
      <c r="H99" s="75"/>
      <c r="I99" s="75"/>
      <c r="J99" s="142"/>
      <c r="K99" s="160"/>
      <c r="L99" s="160"/>
      <c r="M99" s="160"/>
      <c r="N99" s="160"/>
      <c r="O99" s="160"/>
      <c r="P99" s="160"/>
      <c r="Q99" s="160"/>
      <c r="R99" s="160"/>
      <c r="S99" s="104" t="s">
        <v>4</v>
      </c>
    </row>
    <row r="100" spans="1:19" ht="24" x14ac:dyDescent="0.2">
      <c r="A100" s="7">
        <v>2341</v>
      </c>
      <c r="B100" s="13" t="s">
        <v>27</v>
      </c>
      <c r="C100" s="79">
        <v>1000</v>
      </c>
      <c r="D100" s="133">
        <v>250</v>
      </c>
      <c r="E100" s="80">
        <v>0</v>
      </c>
      <c r="F100" s="80">
        <v>1000</v>
      </c>
      <c r="G100" s="79">
        <f>F100-H100-I100</f>
        <v>1000</v>
      </c>
      <c r="H100" s="80"/>
      <c r="I100" s="80"/>
      <c r="J100" s="149"/>
      <c r="K100" s="80">
        <v>1000</v>
      </c>
      <c r="L100" s="80">
        <f>M100-K100</f>
        <v>0</v>
      </c>
      <c r="M100" s="80">
        <v>1000</v>
      </c>
      <c r="N100" s="80"/>
      <c r="O100" s="80">
        <v>1000</v>
      </c>
      <c r="P100" s="80"/>
      <c r="Q100" s="80"/>
      <c r="R100" s="80">
        <v>1000</v>
      </c>
      <c r="S100" s="104" t="s">
        <v>28</v>
      </c>
    </row>
    <row r="101" spans="1:19" ht="96" x14ac:dyDescent="0.2">
      <c r="A101" s="38">
        <v>2342</v>
      </c>
      <c r="B101" s="54" t="s">
        <v>89</v>
      </c>
      <c r="C101" s="79">
        <v>40000</v>
      </c>
      <c r="D101" s="133">
        <v>51500</v>
      </c>
      <c r="E101" s="80">
        <v>24250</v>
      </c>
      <c r="F101" s="80">
        <v>50000</v>
      </c>
      <c r="G101" s="79">
        <f>F101-H101-I101</f>
        <v>50000</v>
      </c>
      <c r="H101" s="80">
        <v>0</v>
      </c>
      <c r="I101" s="80">
        <v>0</v>
      </c>
      <c r="J101" s="80">
        <v>101000</v>
      </c>
      <c r="K101" s="80">
        <f>F101+J101</f>
        <v>151000</v>
      </c>
      <c r="L101" s="80">
        <f>M101-K101</f>
        <v>0</v>
      </c>
      <c r="M101" s="80">
        <v>151000</v>
      </c>
      <c r="N101" s="172">
        <f>O101-M101</f>
        <v>50000</v>
      </c>
      <c r="O101" s="170">
        <v>201000</v>
      </c>
      <c r="P101" s="170"/>
      <c r="Q101" s="170">
        <v>-75000</v>
      </c>
      <c r="R101" s="170">
        <f>O101+Q101</f>
        <v>126000</v>
      </c>
      <c r="S101" s="3" t="s">
        <v>90</v>
      </c>
    </row>
    <row r="102" spans="1:19" x14ac:dyDescent="0.2">
      <c r="A102" s="31"/>
      <c r="B102" s="10" t="s">
        <v>135</v>
      </c>
      <c r="C102" s="95">
        <f t="shared" ref="C102:J102" si="89">SUM(C100:C101)</f>
        <v>41000</v>
      </c>
      <c r="D102" s="120">
        <f>SUM(D100:D101)</f>
        <v>51750</v>
      </c>
      <c r="E102" s="95">
        <f>SUM(E100:E101)</f>
        <v>24250</v>
      </c>
      <c r="F102" s="165">
        <f t="shared" si="89"/>
        <v>51000</v>
      </c>
      <c r="G102" s="165">
        <f t="shared" si="89"/>
        <v>51000</v>
      </c>
      <c r="H102" s="165">
        <f t="shared" si="89"/>
        <v>0</v>
      </c>
      <c r="I102" s="165">
        <f t="shared" si="89"/>
        <v>0</v>
      </c>
      <c r="J102" s="165">
        <f t="shared" si="89"/>
        <v>101000</v>
      </c>
      <c r="K102" s="165">
        <f t="shared" ref="K102:O102" si="90">SUM(K100:K101)</f>
        <v>152000</v>
      </c>
      <c r="L102" s="165">
        <f t="shared" si="90"/>
        <v>0</v>
      </c>
      <c r="M102" s="165">
        <f t="shared" si="90"/>
        <v>152000</v>
      </c>
      <c r="N102" s="165">
        <f t="shared" si="90"/>
        <v>50000</v>
      </c>
      <c r="O102" s="165">
        <f t="shared" si="90"/>
        <v>202000</v>
      </c>
      <c r="P102" s="165"/>
      <c r="Q102" s="165"/>
      <c r="R102" s="165">
        <f t="shared" ref="R102" si="91">SUM(R100:R101)</f>
        <v>127000</v>
      </c>
      <c r="S102" s="114"/>
    </row>
    <row r="103" spans="1:19" x14ac:dyDescent="0.2">
      <c r="A103" s="15">
        <v>235</v>
      </c>
      <c r="B103" s="55" t="s">
        <v>0</v>
      </c>
      <c r="C103" s="82"/>
      <c r="D103" s="134"/>
      <c r="E103" s="82"/>
      <c r="F103" s="164"/>
      <c r="G103" s="82"/>
      <c r="H103" s="82"/>
      <c r="I103" s="82"/>
      <c r="J103" s="150"/>
      <c r="K103" s="164"/>
      <c r="L103" s="164"/>
      <c r="M103" s="164"/>
      <c r="N103" s="164"/>
      <c r="O103" s="164"/>
      <c r="P103" s="164"/>
      <c r="Q103" s="164"/>
      <c r="R103" s="164"/>
      <c r="S103" s="115"/>
    </row>
    <row r="104" spans="1:19" ht="36" x14ac:dyDescent="0.2">
      <c r="A104" s="34">
        <v>2351</v>
      </c>
      <c r="B104" s="43" t="s">
        <v>94</v>
      </c>
      <c r="C104" s="102">
        <v>11000</v>
      </c>
      <c r="D104" s="135">
        <v>4295</v>
      </c>
      <c r="E104" s="83">
        <v>2000</v>
      </c>
      <c r="F104" s="83">
        <v>8000</v>
      </c>
      <c r="G104" s="79">
        <f>F104-H104-I104</f>
        <v>8000</v>
      </c>
      <c r="H104" s="83">
        <v>0</v>
      </c>
      <c r="I104" s="83">
        <v>0</v>
      </c>
      <c r="J104" s="152"/>
      <c r="K104" s="83">
        <v>8000</v>
      </c>
      <c r="L104" s="80">
        <f>M104-K104</f>
        <v>0</v>
      </c>
      <c r="M104" s="83">
        <v>8000</v>
      </c>
      <c r="N104" s="83"/>
      <c r="O104" s="83">
        <v>8000</v>
      </c>
      <c r="P104" s="83"/>
      <c r="Q104" s="83"/>
      <c r="R104" s="83">
        <v>8000</v>
      </c>
      <c r="S104" s="115" t="s">
        <v>133</v>
      </c>
    </row>
    <row r="105" spans="1:19" x14ac:dyDescent="0.2">
      <c r="A105" s="31"/>
      <c r="B105" s="10" t="s">
        <v>136</v>
      </c>
      <c r="C105" s="95">
        <f>SUM(C104)</f>
        <v>11000</v>
      </c>
      <c r="D105" s="120">
        <f>SUM(D104)</f>
        <v>4295</v>
      </c>
      <c r="E105" s="95">
        <f>SUM(E104)</f>
        <v>2000</v>
      </c>
      <c r="F105" s="165">
        <f t="shared" ref="F105" si="92">SUM(F104)</f>
        <v>8000</v>
      </c>
      <c r="G105" s="95">
        <f>SUM(G104)</f>
        <v>8000</v>
      </c>
      <c r="H105" s="95">
        <f>SUM(H104)</f>
        <v>0</v>
      </c>
      <c r="I105" s="95">
        <f>SUM(I104)</f>
        <v>0</v>
      </c>
      <c r="J105" s="151"/>
      <c r="K105" s="165">
        <f t="shared" ref="K105:O105" si="93">SUM(K104)</f>
        <v>8000</v>
      </c>
      <c r="L105" s="165">
        <f t="shared" si="93"/>
        <v>0</v>
      </c>
      <c r="M105" s="165">
        <f t="shared" si="93"/>
        <v>8000</v>
      </c>
      <c r="N105" s="165"/>
      <c r="O105" s="165">
        <f t="shared" si="93"/>
        <v>8000</v>
      </c>
      <c r="P105" s="165"/>
      <c r="Q105" s="165"/>
      <c r="R105" s="165">
        <f t="shared" ref="R105" si="94">SUM(R104)</f>
        <v>8000</v>
      </c>
      <c r="S105" s="114"/>
    </row>
    <row r="106" spans="1:19" x14ac:dyDescent="0.2">
      <c r="A106" s="8" t="s">
        <v>4</v>
      </c>
      <c r="B106" s="9" t="s">
        <v>137</v>
      </c>
      <c r="C106" s="88">
        <f>C91+C95+C98+C102+C105</f>
        <v>476000</v>
      </c>
      <c r="D106" s="121">
        <f>D91+D95+D98+D102+D105</f>
        <v>261369.09</v>
      </c>
      <c r="E106" s="88">
        <f>E91+E95+E98+E102+E105</f>
        <v>504984.76999999996</v>
      </c>
      <c r="F106" s="89">
        <f t="shared" ref="F106:J106" si="95">F91+F95+F98+F102+F105</f>
        <v>284000</v>
      </c>
      <c r="G106" s="89">
        <f t="shared" si="95"/>
        <v>284000</v>
      </c>
      <c r="H106" s="89">
        <f t="shared" si="95"/>
        <v>0</v>
      </c>
      <c r="I106" s="89">
        <f t="shared" si="95"/>
        <v>0</v>
      </c>
      <c r="J106" s="89">
        <f t="shared" si="95"/>
        <v>101000</v>
      </c>
      <c r="K106" s="89">
        <f t="shared" ref="K106:O106" si="96">K91+K95+K98+K102+K105</f>
        <v>385000</v>
      </c>
      <c r="L106" s="89">
        <f t="shared" si="96"/>
        <v>157000</v>
      </c>
      <c r="M106" s="89">
        <f t="shared" si="96"/>
        <v>542000</v>
      </c>
      <c r="N106" s="89">
        <f t="shared" si="96"/>
        <v>50000</v>
      </c>
      <c r="O106" s="89">
        <f t="shared" si="96"/>
        <v>592000</v>
      </c>
      <c r="P106" s="89"/>
      <c r="Q106" s="89"/>
      <c r="R106" s="89">
        <f t="shared" ref="R106" si="97">R91+R95+R98+R102+R105</f>
        <v>517000</v>
      </c>
      <c r="S106" s="8" t="s">
        <v>4</v>
      </c>
    </row>
    <row r="107" spans="1:19" x14ac:dyDescent="0.2">
      <c r="A107" s="8"/>
      <c r="B107" s="47" t="s">
        <v>119</v>
      </c>
      <c r="C107" s="88">
        <f>C77+C86+C106</f>
        <v>11154077</v>
      </c>
      <c r="D107" s="121">
        <f>D77+D86+D106</f>
        <v>8499263.9100000001</v>
      </c>
      <c r="E107" s="88">
        <f>E77+E86+E106</f>
        <v>9844989.2599999998</v>
      </c>
      <c r="F107" s="89">
        <f t="shared" ref="F107:J107" si="98">F77+F86+F106</f>
        <v>9300720</v>
      </c>
      <c r="G107" s="89">
        <f t="shared" si="98"/>
        <v>9300720</v>
      </c>
      <c r="H107" s="89">
        <f t="shared" si="98"/>
        <v>0</v>
      </c>
      <c r="I107" s="89">
        <f t="shared" si="98"/>
        <v>0</v>
      </c>
      <c r="J107" s="89">
        <f t="shared" si="98"/>
        <v>101000</v>
      </c>
      <c r="K107" s="89">
        <f>K77+K86+K106</f>
        <v>9401720</v>
      </c>
      <c r="L107" s="89">
        <f t="shared" ref="L107:O107" si="99">L77+L86+L106</f>
        <v>-226000</v>
      </c>
      <c r="M107" s="89">
        <f t="shared" si="99"/>
        <v>9175720</v>
      </c>
      <c r="N107" s="89">
        <f t="shared" si="99"/>
        <v>50000</v>
      </c>
      <c r="O107" s="89">
        <f t="shared" si="99"/>
        <v>9225720</v>
      </c>
      <c r="P107" s="89"/>
      <c r="Q107" s="89"/>
      <c r="R107" s="89">
        <f t="shared" ref="R107" si="100">R77+R86+R106</f>
        <v>9150720</v>
      </c>
      <c r="S107" s="8"/>
    </row>
    <row r="108" spans="1:19" ht="30" x14ac:dyDescent="0.2">
      <c r="A108" s="23">
        <v>3</v>
      </c>
      <c r="B108" s="25" t="s">
        <v>48</v>
      </c>
      <c r="C108" s="75"/>
      <c r="D108" s="129"/>
      <c r="E108" s="75"/>
      <c r="F108" s="160"/>
      <c r="G108" s="75"/>
      <c r="H108" s="75"/>
      <c r="I108" s="75"/>
      <c r="J108" s="142"/>
      <c r="K108" s="160"/>
      <c r="L108" s="160"/>
      <c r="M108" s="160"/>
      <c r="N108" s="160"/>
      <c r="O108" s="160"/>
      <c r="P108" s="160"/>
      <c r="Q108" s="160"/>
      <c r="R108" s="160"/>
      <c r="S108" s="104" t="s">
        <v>4</v>
      </c>
    </row>
    <row r="109" spans="1:19" ht="25.5" x14ac:dyDescent="0.2">
      <c r="A109" s="5">
        <v>31</v>
      </c>
      <c r="B109" s="48" t="s">
        <v>32</v>
      </c>
      <c r="C109" s="75"/>
      <c r="D109" s="129"/>
      <c r="E109" s="75"/>
      <c r="F109" s="160"/>
      <c r="G109" s="75"/>
      <c r="H109" s="75"/>
      <c r="I109" s="75"/>
      <c r="J109" s="142"/>
      <c r="K109" s="160"/>
      <c r="L109" s="160"/>
      <c r="M109" s="160"/>
      <c r="N109" s="160"/>
      <c r="O109" s="160"/>
      <c r="P109" s="160"/>
      <c r="Q109" s="160"/>
      <c r="R109" s="160"/>
      <c r="S109" s="104" t="s">
        <v>4</v>
      </c>
    </row>
    <row r="110" spans="1:19" x14ac:dyDescent="0.2">
      <c r="A110" s="6">
        <v>311</v>
      </c>
      <c r="B110" s="39" t="s">
        <v>111</v>
      </c>
      <c r="C110" s="75"/>
      <c r="D110" s="129"/>
      <c r="E110" s="75"/>
      <c r="F110" s="160"/>
      <c r="G110" s="75"/>
      <c r="H110" s="75"/>
      <c r="I110" s="75"/>
      <c r="J110" s="142"/>
      <c r="K110" s="160"/>
      <c r="L110" s="160"/>
      <c r="M110" s="160"/>
      <c r="N110" s="160"/>
      <c r="O110" s="160"/>
      <c r="P110" s="160"/>
      <c r="Q110" s="160"/>
      <c r="R110" s="160"/>
      <c r="S110" s="104" t="s">
        <v>4</v>
      </c>
    </row>
    <row r="111" spans="1:19" ht="63.75" customHeight="1" x14ac:dyDescent="0.2">
      <c r="A111" s="7">
        <v>3111</v>
      </c>
      <c r="B111" s="13" t="s">
        <v>111</v>
      </c>
      <c r="C111" s="79">
        <v>703097</v>
      </c>
      <c r="D111" s="133">
        <v>228861.1</v>
      </c>
      <c r="E111" s="80">
        <v>252656.41</v>
      </c>
      <c r="F111" s="80">
        <v>330000</v>
      </c>
      <c r="G111" s="80">
        <f>F111-H111-I111</f>
        <v>247056.76254180603</v>
      </c>
      <c r="H111" s="80">
        <f>F111*$H$136</f>
        <v>36676.409698996657</v>
      </c>
      <c r="I111" s="80">
        <f>F111*$I$136</f>
        <v>46266.827759197324</v>
      </c>
      <c r="J111" s="149"/>
      <c r="K111" s="80">
        <v>330000</v>
      </c>
      <c r="L111" s="80">
        <f>M111-K111</f>
        <v>-230000</v>
      </c>
      <c r="M111" s="80">
        <v>100000</v>
      </c>
      <c r="N111" s="170">
        <f>O111-M111</f>
        <v>60000</v>
      </c>
      <c r="O111" s="170">
        <v>160000</v>
      </c>
      <c r="P111" s="170"/>
      <c r="Q111" s="170"/>
      <c r="R111" s="170">
        <v>160000</v>
      </c>
      <c r="S111" s="11" t="s">
        <v>33</v>
      </c>
    </row>
    <row r="112" spans="1:19" x14ac:dyDescent="0.2">
      <c r="A112" s="8" t="s">
        <v>4</v>
      </c>
      <c r="B112" s="10" t="s">
        <v>138</v>
      </c>
      <c r="C112" s="88">
        <f t="shared" ref="C112:J112" si="101">SUM(C111)</f>
        <v>703097</v>
      </c>
      <c r="D112" s="121">
        <f>SUM(D111)</f>
        <v>228861.1</v>
      </c>
      <c r="E112" s="88">
        <f>SUM(E111)</f>
        <v>252656.41</v>
      </c>
      <c r="F112" s="89">
        <f t="shared" si="101"/>
        <v>330000</v>
      </c>
      <c r="G112" s="89">
        <f t="shared" si="101"/>
        <v>247056.76254180603</v>
      </c>
      <c r="H112" s="89">
        <f t="shared" si="101"/>
        <v>36676.409698996657</v>
      </c>
      <c r="I112" s="89">
        <f t="shared" si="101"/>
        <v>46266.827759197324</v>
      </c>
      <c r="J112" s="89">
        <f t="shared" si="101"/>
        <v>0</v>
      </c>
      <c r="K112" s="89">
        <f t="shared" ref="K112:O112" si="102">SUM(K111)</f>
        <v>330000</v>
      </c>
      <c r="L112" s="89">
        <f t="shared" si="102"/>
        <v>-230000</v>
      </c>
      <c r="M112" s="89">
        <f t="shared" si="102"/>
        <v>100000</v>
      </c>
      <c r="N112" s="89">
        <f>SUM(N111)</f>
        <v>60000</v>
      </c>
      <c r="O112" s="89">
        <f t="shared" si="102"/>
        <v>160000</v>
      </c>
      <c r="P112" s="89"/>
      <c r="Q112" s="89"/>
      <c r="R112" s="89">
        <f t="shared" ref="R112" si="103">SUM(R111)</f>
        <v>160000</v>
      </c>
      <c r="S112" s="8" t="s">
        <v>4</v>
      </c>
    </row>
    <row r="113" spans="1:19" x14ac:dyDescent="0.2">
      <c r="A113" s="6">
        <v>312</v>
      </c>
      <c r="B113" s="39" t="s">
        <v>19</v>
      </c>
      <c r="C113" s="75"/>
      <c r="D113" s="129"/>
      <c r="E113" s="75"/>
      <c r="F113" s="160"/>
      <c r="G113" s="75"/>
      <c r="H113" s="75"/>
      <c r="I113" s="75"/>
      <c r="J113" s="142"/>
      <c r="K113" s="160"/>
      <c r="L113" s="160"/>
      <c r="M113" s="160"/>
      <c r="N113" s="160"/>
      <c r="O113" s="160"/>
      <c r="P113" s="160"/>
      <c r="Q113" s="160"/>
      <c r="R113" s="160"/>
      <c r="S113" s="104" t="s">
        <v>4</v>
      </c>
    </row>
    <row r="114" spans="1:19" ht="54" customHeight="1" x14ac:dyDescent="0.2">
      <c r="A114" s="31">
        <v>3121</v>
      </c>
      <c r="B114" s="32" t="s">
        <v>19</v>
      </c>
      <c r="C114" s="79">
        <v>850000</v>
      </c>
      <c r="D114" s="133">
        <v>763757.82</v>
      </c>
      <c r="E114" s="80">
        <v>419558.63</v>
      </c>
      <c r="F114" s="80">
        <v>700000</v>
      </c>
      <c r="G114" s="80">
        <f>F114-H114-I114</f>
        <v>524059.79933110368</v>
      </c>
      <c r="H114" s="80">
        <f>F114*$H$136</f>
        <v>77798.44481605351</v>
      </c>
      <c r="I114" s="80">
        <f>F114*$I$136</f>
        <v>98141.755852842805</v>
      </c>
      <c r="J114" s="149"/>
      <c r="K114" s="80">
        <v>700000</v>
      </c>
      <c r="L114" s="80">
        <f>M114-K114</f>
        <v>-50000</v>
      </c>
      <c r="M114" s="80">
        <v>650000</v>
      </c>
      <c r="N114" s="80">
        <f>O114-M114</f>
        <v>-50000</v>
      </c>
      <c r="O114" s="80">
        <v>600000</v>
      </c>
      <c r="P114" s="80"/>
      <c r="Q114" s="80"/>
      <c r="R114" s="80">
        <v>600000</v>
      </c>
      <c r="S114" s="11" t="s">
        <v>93</v>
      </c>
    </row>
    <row r="115" spans="1:19" x14ac:dyDescent="0.2">
      <c r="A115" s="8" t="s">
        <v>4</v>
      </c>
      <c r="B115" s="10" t="s">
        <v>139</v>
      </c>
      <c r="C115" s="88">
        <f t="shared" ref="C115:J115" si="104">SUM(C114)</f>
        <v>850000</v>
      </c>
      <c r="D115" s="121">
        <f>SUM(D114)</f>
        <v>763757.82</v>
      </c>
      <c r="E115" s="88">
        <f>SUM(E114)</f>
        <v>419558.63</v>
      </c>
      <c r="F115" s="89">
        <f t="shared" si="104"/>
        <v>700000</v>
      </c>
      <c r="G115" s="89">
        <f t="shared" si="104"/>
        <v>524059.79933110368</v>
      </c>
      <c r="H115" s="89">
        <f t="shared" si="104"/>
        <v>77798.44481605351</v>
      </c>
      <c r="I115" s="89">
        <f t="shared" si="104"/>
        <v>98141.755852842805</v>
      </c>
      <c r="J115" s="89">
        <f t="shared" si="104"/>
        <v>0</v>
      </c>
      <c r="K115" s="89">
        <f t="shared" ref="K115:O115" si="105">SUM(K114)</f>
        <v>700000</v>
      </c>
      <c r="L115" s="89">
        <f t="shared" si="105"/>
        <v>-50000</v>
      </c>
      <c r="M115" s="89">
        <f t="shared" si="105"/>
        <v>650000</v>
      </c>
      <c r="N115" s="89">
        <f t="shared" si="105"/>
        <v>-50000</v>
      </c>
      <c r="O115" s="89">
        <f t="shared" si="105"/>
        <v>600000</v>
      </c>
      <c r="P115" s="89"/>
      <c r="Q115" s="89"/>
      <c r="R115" s="89">
        <f t="shared" ref="R115" si="106">SUM(R114)</f>
        <v>600000</v>
      </c>
      <c r="S115" s="8" t="s">
        <v>4</v>
      </c>
    </row>
    <row r="116" spans="1:19" x14ac:dyDescent="0.2">
      <c r="A116" s="6">
        <v>313</v>
      </c>
      <c r="B116" s="39" t="s">
        <v>112</v>
      </c>
      <c r="C116" s="75"/>
      <c r="D116" s="129"/>
      <c r="E116" s="75"/>
      <c r="F116" s="160"/>
      <c r="G116" s="75"/>
      <c r="H116" s="75"/>
      <c r="I116" s="75"/>
      <c r="J116" s="142"/>
      <c r="K116" s="160"/>
      <c r="L116" s="160"/>
      <c r="M116" s="160"/>
      <c r="N116" s="160"/>
      <c r="O116" s="160"/>
      <c r="P116" s="160"/>
      <c r="Q116" s="160"/>
      <c r="R116" s="160"/>
      <c r="S116" s="104" t="s">
        <v>4</v>
      </c>
    </row>
    <row r="117" spans="1:19" ht="57.75" customHeight="1" x14ac:dyDescent="0.2">
      <c r="A117" s="31">
        <v>3131</v>
      </c>
      <c r="B117" s="43" t="s">
        <v>112</v>
      </c>
      <c r="C117" s="79">
        <v>800000</v>
      </c>
      <c r="D117" s="133">
        <v>640000</v>
      </c>
      <c r="E117" s="80">
        <v>515000</v>
      </c>
      <c r="F117" s="80">
        <v>700000</v>
      </c>
      <c r="G117" s="80">
        <f>F117-H117-I117</f>
        <v>524059.79933110368</v>
      </c>
      <c r="H117" s="80">
        <f>F117*$H$136</f>
        <v>77798.44481605351</v>
      </c>
      <c r="I117" s="80">
        <f>F117*$I$136</f>
        <v>98141.755852842805</v>
      </c>
      <c r="J117" s="149"/>
      <c r="K117" s="80">
        <v>700000</v>
      </c>
      <c r="L117" s="80">
        <f>M117-K117</f>
        <v>0</v>
      </c>
      <c r="M117" s="80">
        <v>700000</v>
      </c>
      <c r="N117" s="80"/>
      <c r="O117" s="80">
        <v>700000</v>
      </c>
      <c r="P117" s="80"/>
      <c r="Q117" s="80"/>
      <c r="R117" s="80">
        <v>700000</v>
      </c>
      <c r="S117" s="11" t="s">
        <v>34</v>
      </c>
    </row>
    <row r="118" spans="1:19" x14ac:dyDescent="0.2">
      <c r="A118" s="8" t="s">
        <v>4</v>
      </c>
      <c r="B118" s="10" t="s">
        <v>140</v>
      </c>
      <c r="C118" s="88">
        <f t="shared" ref="C118:J118" si="107">SUM(C117)</f>
        <v>800000</v>
      </c>
      <c r="D118" s="121">
        <f>SUM(D117)</f>
        <v>640000</v>
      </c>
      <c r="E118" s="88">
        <f>SUM(E117)</f>
        <v>515000</v>
      </c>
      <c r="F118" s="89">
        <f t="shared" si="107"/>
        <v>700000</v>
      </c>
      <c r="G118" s="89">
        <f t="shared" si="107"/>
        <v>524059.79933110368</v>
      </c>
      <c r="H118" s="89">
        <f t="shared" si="107"/>
        <v>77798.44481605351</v>
      </c>
      <c r="I118" s="89">
        <f t="shared" si="107"/>
        <v>98141.755852842805</v>
      </c>
      <c r="J118" s="89">
        <f t="shared" si="107"/>
        <v>0</v>
      </c>
      <c r="K118" s="89">
        <f t="shared" ref="K118:O118" si="108">SUM(K117)</f>
        <v>700000</v>
      </c>
      <c r="L118" s="89">
        <f t="shared" si="108"/>
        <v>0</v>
      </c>
      <c r="M118" s="89">
        <f t="shared" si="108"/>
        <v>700000</v>
      </c>
      <c r="N118" s="89"/>
      <c r="O118" s="89">
        <f t="shared" si="108"/>
        <v>700000</v>
      </c>
      <c r="P118" s="89"/>
      <c r="Q118" s="89"/>
      <c r="R118" s="89">
        <f t="shared" ref="R118" si="109">SUM(R117)</f>
        <v>700000</v>
      </c>
      <c r="S118" s="8" t="s">
        <v>4</v>
      </c>
    </row>
    <row r="119" spans="1:19" x14ac:dyDescent="0.2">
      <c r="A119" s="6">
        <v>314</v>
      </c>
      <c r="B119" s="39" t="s">
        <v>141</v>
      </c>
      <c r="C119" s="75"/>
      <c r="D119" s="129"/>
      <c r="E119" s="75"/>
      <c r="F119" s="160"/>
      <c r="G119" s="75"/>
      <c r="H119" s="75"/>
      <c r="I119" s="75"/>
      <c r="J119" s="142"/>
      <c r="K119" s="160"/>
      <c r="L119" s="160"/>
      <c r="M119" s="160"/>
      <c r="N119" s="160"/>
      <c r="O119" s="160"/>
      <c r="P119" s="160"/>
      <c r="Q119" s="160"/>
      <c r="R119" s="160"/>
      <c r="S119" s="104" t="s">
        <v>4</v>
      </c>
    </row>
    <row r="120" spans="1:19" ht="36" x14ac:dyDescent="0.2">
      <c r="A120" s="31">
        <v>3141</v>
      </c>
      <c r="B120" s="43" t="s">
        <v>141</v>
      </c>
      <c r="C120" s="79">
        <v>1400000</v>
      </c>
      <c r="D120" s="133">
        <v>1253900.5900000001</v>
      </c>
      <c r="E120" s="80">
        <v>894119.5</v>
      </c>
      <c r="F120" s="80">
        <v>1100000</v>
      </c>
      <c r="G120" s="80">
        <f>F120-H120-I120</f>
        <v>823522.54180602008</v>
      </c>
      <c r="H120" s="80">
        <f>F120*$H$136</f>
        <v>122254.69899665551</v>
      </c>
      <c r="I120" s="80">
        <f>F120*$I$136</f>
        <v>154222.75919732443</v>
      </c>
      <c r="J120" s="149"/>
      <c r="K120" s="80">
        <v>1100000</v>
      </c>
      <c r="L120" s="80">
        <f>M120-K120</f>
        <v>-110000</v>
      </c>
      <c r="M120" s="80">
        <v>990000</v>
      </c>
      <c r="N120" s="80">
        <f>O120-M120</f>
        <v>55000</v>
      </c>
      <c r="O120" s="80">
        <v>1045000</v>
      </c>
      <c r="P120" s="80"/>
      <c r="Q120" s="80">
        <v>-83000</v>
      </c>
      <c r="R120" s="80">
        <f>1045000+Q120</f>
        <v>962000</v>
      </c>
      <c r="S120" s="11" t="s">
        <v>146</v>
      </c>
    </row>
    <row r="121" spans="1:19" x14ac:dyDescent="0.2">
      <c r="A121" s="8" t="s">
        <v>4</v>
      </c>
      <c r="B121" s="10" t="s">
        <v>142</v>
      </c>
      <c r="C121" s="88">
        <f t="shared" ref="C121:J121" si="110">SUM(C120)</f>
        <v>1400000</v>
      </c>
      <c r="D121" s="121">
        <f>SUM(D120)</f>
        <v>1253900.5900000001</v>
      </c>
      <c r="E121" s="88">
        <f>SUM(E120)</f>
        <v>894119.5</v>
      </c>
      <c r="F121" s="89">
        <f t="shared" si="110"/>
        <v>1100000</v>
      </c>
      <c r="G121" s="89">
        <f t="shared" si="110"/>
        <v>823522.54180602008</v>
      </c>
      <c r="H121" s="89">
        <f t="shared" si="110"/>
        <v>122254.69899665551</v>
      </c>
      <c r="I121" s="89">
        <f t="shared" si="110"/>
        <v>154222.75919732443</v>
      </c>
      <c r="J121" s="89">
        <f t="shared" si="110"/>
        <v>0</v>
      </c>
      <c r="K121" s="89">
        <f t="shared" ref="K121:O121" si="111">SUM(K120)</f>
        <v>1100000</v>
      </c>
      <c r="L121" s="89">
        <f t="shared" si="111"/>
        <v>-110000</v>
      </c>
      <c r="M121" s="89">
        <f t="shared" si="111"/>
        <v>990000</v>
      </c>
      <c r="N121" s="89">
        <f t="shared" si="111"/>
        <v>55000</v>
      </c>
      <c r="O121" s="89">
        <f t="shared" si="111"/>
        <v>1045000</v>
      </c>
      <c r="P121" s="89"/>
      <c r="Q121" s="89"/>
      <c r="R121" s="89">
        <f t="shared" ref="R121" si="112">SUM(R120)</f>
        <v>962000</v>
      </c>
      <c r="S121" s="8" t="s">
        <v>4</v>
      </c>
    </row>
    <row r="122" spans="1:19" x14ac:dyDescent="0.2">
      <c r="A122" s="6">
        <v>315</v>
      </c>
      <c r="B122" s="39" t="s">
        <v>51</v>
      </c>
      <c r="C122" s="75"/>
      <c r="D122" s="129"/>
      <c r="E122" s="75"/>
      <c r="F122" s="160"/>
      <c r="G122" s="75"/>
      <c r="H122" s="75"/>
      <c r="I122" s="75"/>
      <c r="J122" s="142"/>
      <c r="K122" s="160"/>
      <c r="L122" s="160"/>
      <c r="M122" s="160"/>
      <c r="N122" s="160"/>
      <c r="O122" s="160"/>
      <c r="P122" s="160"/>
      <c r="Q122" s="160"/>
      <c r="R122" s="160"/>
      <c r="S122" s="104" t="s">
        <v>4</v>
      </c>
    </row>
    <row r="123" spans="1:19" ht="84" x14ac:dyDescent="0.2">
      <c r="A123" s="31">
        <v>3151</v>
      </c>
      <c r="B123" s="35" t="s">
        <v>12</v>
      </c>
      <c r="C123" s="79">
        <v>750000</v>
      </c>
      <c r="D123" s="133">
        <v>526000</v>
      </c>
      <c r="E123" s="80">
        <v>515000</v>
      </c>
      <c r="F123" s="80">
        <v>650000</v>
      </c>
      <c r="G123" s="80">
        <f>F123-H123-I123</f>
        <v>486626.95652173914</v>
      </c>
      <c r="H123" s="80">
        <f>F123*$H$136</f>
        <v>72241.413043478256</v>
      </c>
      <c r="I123" s="80">
        <f>F123*$I$136</f>
        <v>91131.630434782608</v>
      </c>
      <c r="J123" s="80">
        <v>-101000</v>
      </c>
      <c r="K123" s="80">
        <f>F123+J123</f>
        <v>549000</v>
      </c>
      <c r="L123" s="80">
        <f>M123-K123</f>
        <v>0</v>
      </c>
      <c r="M123" s="80">
        <v>549000</v>
      </c>
      <c r="N123" s="80"/>
      <c r="O123" s="80">
        <v>549000</v>
      </c>
      <c r="P123" s="80"/>
      <c r="Q123" s="80"/>
      <c r="R123" s="80">
        <v>549000</v>
      </c>
      <c r="S123" s="11" t="s">
        <v>147</v>
      </c>
    </row>
    <row r="124" spans="1:19" x14ac:dyDescent="0.2">
      <c r="A124" s="8" t="s">
        <v>4</v>
      </c>
      <c r="B124" s="10" t="s">
        <v>143</v>
      </c>
      <c r="C124" s="88">
        <f t="shared" ref="C124:J124" si="113">SUM(C123)</f>
        <v>750000</v>
      </c>
      <c r="D124" s="121">
        <f>SUM(D123)</f>
        <v>526000</v>
      </c>
      <c r="E124" s="88">
        <f>SUM(E123)</f>
        <v>515000</v>
      </c>
      <c r="F124" s="89">
        <f t="shared" si="113"/>
        <v>650000</v>
      </c>
      <c r="G124" s="89">
        <f t="shared" si="113"/>
        <v>486626.95652173914</v>
      </c>
      <c r="H124" s="89">
        <f t="shared" si="113"/>
        <v>72241.413043478256</v>
      </c>
      <c r="I124" s="89">
        <f t="shared" si="113"/>
        <v>91131.630434782608</v>
      </c>
      <c r="J124" s="89">
        <f t="shared" si="113"/>
        <v>-101000</v>
      </c>
      <c r="K124" s="89">
        <f t="shared" ref="K124:O124" si="114">SUM(K123)</f>
        <v>549000</v>
      </c>
      <c r="L124" s="89">
        <f t="shared" si="114"/>
        <v>0</v>
      </c>
      <c r="M124" s="89">
        <f t="shared" si="114"/>
        <v>549000</v>
      </c>
      <c r="N124" s="89"/>
      <c r="O124" s="89">
        <f t="shared" si="114"/>
        <v>549000</v>
      </c>
      <c r="P124" s="89"/>
      <c r="Q124" s="89"/>
      <c r="R124" s="89">
        <f t="shared" ref="R124" si="115">SUM(R123)</f>
        <v>549000</v>
      </c>
      <c r="S124" s="8" t="s">
        <v>4</v>
      </c>
    </row>
    <row r="125" spans="1:19" x14ac:dyDescent="0.2">
      <c r="A125" s="6">
        <v>316</v>
      </c>
      <c r="B125" s="39" t="s">
        <v>145</v>
      </c>
      <c r="C125" s="75"/>
      <c r="D125" s="129"/>
      <c r="E125" s="75"/>
      <c r="F125" s="160"/>
      <c r="G125" s="75"/>
      <c r="H125" s="75"/>
      <c r="I125" s="75"/>
      <c r="J125" s="142"/>
      <c r="K125" s="160"/>
      <c r="L125" s="160"/>
      <c r="M125" s="160"/>
      <c r="N125" s="160"/>
      <c r="O125" s="160"/>
      <c r="P125" s="160"/>
      <c r="Q125" s="160"/>
      <c r="R125" s="160"/>
      <c r="S125" s="104" t="s">
        <v>4</v>
      </c>
    </row>
    <row r="126" spans="1:19" ht="27" customHeight="1" x14ac:dyDescent="0.2">
      <c r="A126" s="31">
        <v>3161</v>
      </c>
      <c r="B126" s="43" t="s">
        <v>145</v>
      </c>
      <c r="C126" s="79">
        <v>2191000</v>
      </c>
      <c r="D126" s="133">
        <v>2258217.17</v>
      </c>
      <c r="E126" s="80">
        <v>2249416.75</v>
      </c>
      <c r="F126" s="80">
        <f>2500000</f>
        <v>2500000</v>
      </c>
      <c r="G126" s="80">
        <f>F126-H126-I126</f>
        <v>1871642.1404682277</v>
      </c>
      <c r="H126" s="80">
        <f>F126*$H$136</f>
        <v>277851.58862876252</v>
      </c>
      <c r="I126" s="80">
        <f>F126*$I$136</f>
        <v>350506.27090301004</v>
      </c>
      <c r="J126" s="149"/>
      <c r="K126" s="80">
        <f>2500000</f>
        <v>2500000</v>
      </c>
      <c r="L126" s="80">
        <f>M126-K126</f>
        <v>181000</v>
      </c>
      <c r="M126" s="80">
        <v>2681000</v>
      </c>
      <c r="N126" s="80"/>
      <c r="O126" s="80">
        <v>2681000</v>
      </c>
      <c r="P126" s="80"/>
      <c r="Q126" s="80"/>
      <c r="R126" s="80">
        <v>2681000</v>
      </c>
      <c r="S126" s="11" t="s">
        <v>152</v>
      </c>
    </row>
    <row r="127" spans="1:19" x14ac:dyDescent="0.2">
      <c r="A127" s="8" t="s">
        <v>4</v>
      </c>
      <c r="B127" s="10" t="s">
        <v>148</v>
      </c>
      <c r="C127" s="88">
        <f t="shared" ref="C127:J127" si="116">SUM(C126)</f>
        <v>2191000</v>
      </c>
      <c r="D127" s="121">
        <f>SUM(D126)</f>
        <v>2258217.17</v>
      </c>
      <c r="E127" s="88">
        <f>SUM(E126)</f>
        <v>2249416.75</v>
      </c>
      <c r="F127" s="89">
        <f t="shared" si="116"/>
        <v>2500000</v>
      </c>
      <c r="G127" s="89">
        <f t="shared" si="116"/>
        <v>1871642.1404682277</v>
      </c>
      <c r="H127" s="89">
        <f t="shared" si="116"/>
        <v>277851.58862876252</v>
      </c>
      <c r="I127" s="89">
        <f t="shared" si="116"/>
        <v>350506.27090301004</v>
      </c>
      <c r="J127" s="89">
        <f t="shared" si="116"/>
        <v>0</v>
      </c>
      <c r="K127" s="89">
        <f t="shared" ref="K127:O127" si="117">SUM(K126)</f>
        <v>2500000</v>
      </c>
      <c r="L127" s="89">
        <f t="shared" si="117"/>
        <v>181000</v>
      </c>
      <c r="M127" s="89">
        <f t="shared" si="117"/>
        <v>2681000</v>
      </c>
      <c r="N127" s="89"/>
      <c r="O127" s="89">
        <f t="shared" si="117"/>
        <v>2681000</v>
      </c>
      <c r="P127" s="89"/>
      <c r="Q127" s="89"/>
      <c r="R127" s="89">
        <f t="shared" ref="R127" si="118">SUM(R126)</f>
        <v>2681000</v>
      </c>
      <c r="S127" s="8" t="s">
        <v>4</v>
      </c>
    </row>
    <row r="128" spans="1:19" x14ac:dyDescent="0.2">
      <c r="A128" s="6">
        <v>317</v>
      </c>
      <c r="B128" s="39" t="s">
        <v>149</v>
      </c>
      <c r="C128" s="75"/>
      <c r="D128" s="129"/>
      <c r="E128" s="75"/>
      <c r="F128" s="160"/>
      <c r="G128" s="75"/>
      <c r="H128" s="75"/>
      <c r="I128" s="75"/>
      <c r="J128" s="142"/>
      <c r="K128" s="160"/>
      <c r="L128" s="160"/>
      <c r="M128" s="160"/>
      <c r="N128" s="160"/>
      <c r="O128" s="160"/>
      <c r="P128" s="160"/>
      <c r="Q128" s="160"/>
      <c r="R128" s="160"/>
      <c r="S128" s="104" t="s">
        <v>4</v>
      </c>
    </row>
    <row r="129" spans="1:19" ht="27" customHeight="1" x14ac:dyDescent="0.2">
      <c r="A129" s="31">
        <v>3171</v>
      </c>
      <c r="B129" s="43" t="s">
        <v>159</v>
      </c>
      <c r="C129" s="81" t="s">
        <v>5</v>
      </c>
      <c r="D129" s="133">
        <v>0</v>
      </c>
      <c r="E129" s="81">
        <v>0</v>
      </c>
      <c r="F129" s="81">
        <v>0</v>
      </c>
      <c r="G129" s="80">
        <f>F129-H129-I129</f>
        <v>0</v>
      </c>
      <c r="H129" s="80">
        <f>F129*$H$136</f>
        <v>0</v>
      </c>
      <c r="I129" s="80">
        <f>F129*$I$136</f>
        <v>0</v>
      </c>
      <c r="J129" s="149"/>
      <c r="K129" s="81">
        <v>0</v>
      </c>
      <c r="L129" s="81"/>
      <c r="M129" s="81">
        <v>0</v>
      </c>
      <c r="N129" s="81"/>
      <c r="O129" s="81">
        <v>0</v>
      </c>
      <c r="P129" s="81"/>
      <c r="Q129" s="81"/>
      <c r="R129" s="81">
        <v>0</v>
      </c>
      <c r="S129" s="11" t="s">
        <v>153</v>
      </c>
    </row>
    <row r="130" spans="1:19" x14ac:dyDescent="0.2">
      <c r="A130" s="8" t="s">
        <v>4</v>
      </c>
      <c r="B130" s="10" t="s">
        <v>150</v>
      </c>
      <c r="C130" s="88">
        <f>SUM(C129)</f>
        <v>0</v>
      </c>
      <c r="D130" s="121">
        <f>SUM(D129)</f>
        <v>0</v>
      </c>
      <c r="E130" s="88">
        <f>SUM(E129)</f>
        <v>0</v>
      </c>
      <c r="F130" s="89">
        <f t="shared" ref="F130:I130" si="119">SUM(F129)</f>
        <v>0</v>
      </c>
      <c r="G130" s="88">
        <f t="shared" si="119"/>
        <v>0</v>
      </c>
      <c r="H130" s="88">
        <f t="shared" si="119"/>
        <v>0</v>
      </c>
      <c r="I130" s="88">
        <f t="shared" si="119"/>
        <v>0</v>
      </c>
      <c r="J130" s="143"/>
      <c r="K130" s="89">
        <f t="shared" ref="K130:M130" si="120">SUM(K129)</f>
        <v>0</v>
      </c>
      <c r="L130" s="89">
        <f t="shared" si="120"/>
        <v>0</v>
      </c>
      <c r="M130" s="89">
        <f t="shared" si="120"/>
        <v>0</v>
      </c>
      <c r="N130" s="89"/>
      <c r="O130" s="89"/>
      <c r="P130" s="89"/>
      <c r="Q130" s="89"/>
      <c r="R130" s="89"/>
      <c r="S130" s="8" t="s">
        <v>4</v>
      </c>
    </row>
    <row r="131" spans="1:19" x14ac:dyDescent="0.2">
      <c r="A131" s="8" t="s">
        <v>4</v>
      </c>
      <c r="B131" s="9" t="s">
        <v>110</v>
      </c>
      <c r="C131" s="88">
        <f>C112+C115+C118+C121+C124+C127+C130</f>
        <v>6694097</v>
      </c>
      <c r="D131" s="121">
        <f>D112+D115+D118+D121+D124+D127+D130</f>
        <v>5670736.6799999997</v>
      </c>
      <c r="E131" s="88">
        <f>E112+E115+E118+E121+E124+E127+E130</f>
        <v>4845751.29</v>
      </c>
      <c r="F131" s="89">
        <f t="shared" ref="F131:J131" si="121">F112+F115+F118+F121+F124+F127+F130</f>
        <v>5980000</v>
      </c>
      <c r="G131" s="89">
        <f t="shared" si="121"/>
        <v>4476968</v>
      </c>
      <c r="H131" s="89">
        <f t="shared" si="121"/>
        <v>664621</v>
      </c>
      <c r="I131" s="89">
        <f t="shared" si="121"/>
        <v>838411</v>
      </c>
      <c r="J131" s="89">
        <f t="shared" si="121"/>
        <v>-101000</v>
      </c>
      <c r="K131" s="89">
        <f t="shared" ref="K131:O131" si="122">K112+K115+K118+K121+K124+K127+K130</f>
        <v>5879000</v>
      </c>
      <c r="L131" s="89">
        <f t="shared" si="122"/>
        <v>-209000</v>
      </c>
      <c r="M131" s="89">
        <f t="shared" si="122"/>
        <v>5670000</v>
      </c>
      <c r="N131" s="89">
        <f t="shared" si="122"/>
        <v>65000</v>
      </c>
      <c r="O131" s="89">
        <f t="shared" si="122"/>
        <v>5735000</v>
      </c>
      <c r="P131" s="89"/>
      <c r="Q131" s="89"/>
      <c r="R131" s="89">
        <f t="shared" ref="R131" si="123">R112+R115+R118+R121+R124+R127+R130</f>
        <v>5652000</v>
      </c>
      <c r="S131" s="8" t="s">
        <v>4</v>
      </c>
    </row>
    <row r="132" spans="1:19" s="30" customFormat="1" x14ac:dyDescent="0.2">
      <c r="A132" s="29" t="s">
        <v>4</v>
      </c>
      <c r="B132" s="47" t="s">
        <v>31</v>
      </c>
      <c r="C132" s="94">
        <f>C131</f>
        <v>6694097</v>
      </c>
      <c r="D132" s="123">
        <f>D131</f>
        <v>5670736.6799999997</v>
      </c>
      <c r="E132" s="89">
        <f>E131</f>
        <v>4845751.29</v>
      </c>
      <c r="F132" s="89">
        <f t="shared" ref="F132:J132" si="124">F131</f>
        <v>5980000</v>
      </c>
      <c r="G132" s="89">
        <f t="shared" si="124"/>
        <v>4476968</v>
      </c>
      <c r="H132" s="89">
        <f t="shared" si="124"/>
        <v>664621</v>
      </c>
      <c r="I132" s="89">
        <f t="shared" si="124"/>
        <v>838411</v>
      </c>
      <c r="J132" s="89">
        <f t="shared" si="124"/>
        <v>-101000</v>
      </c>
      <c r="K132" s="89">
        <f t="shared" ref="K132:O132" si="125">K131</f>
        <v>5879000</v>
      </c>
      <c r="L132" s="89">
        <f t="shared" si="125"/>
        <v>-209000</v>
      </c>
      <c r="M132" s="89">
        <f t="shared" si="125"/>
        <v>5670000</v>
      </c>
      <c r="N132" s="89">
        <f t="shared" si="125"/>
        <v>65000</v>
      </c>
      <c r="O132" s="89">
        <f t="shared" si="125"/>
        <v>5735000</v>
      </c>
      <c r="P132" s="89"/>
      <c r="Q132" s="89"/>
      <c r="R132" s="89">
        <f t="shared" ref="R132" si="126">R131</f>
        <v>5652000</v>
      </c>
      <c r="S132" s="108" t="s">
        <v>4</v>
      </c>
    </row>
    <row r="133" spans="1:19" s="28" customFormat="1" ht="15" x14ac:dyDescent="0.25">
      <c r="A133" s="26" t="s">
        <v>4</v>
      </c>
      <c r="B133" s="27" t="s">
        <v>1</v>
      </c>
      <c r="C133" s="96">
        <f>C132+C107+C67</f>
        <v>50290174</v>
      </c>
      <c r="D133" s="136">
        <f>D132+D107+D67</f>
        <v>45974682.75</v>
      </c>
      <c r="E133" s="96">
        <f t="shared" ref="E133:J133" si="127">E132+E107+E67</f>
        <v>47956088.189999998</v>
      </c>
      <c r="F133" s="96">
        <f t="shared" si="127"/>
        <v>50217720</v>
      </c>
      <c r="G133" s="96">
        <f t="shared" si="127"/>
        <v>47081000.278507397</v>
      </c>
      <c r="H133" s="96">
        <f t="shared" si="127"/>
        <v>1074377.0975609757</v>
      </c>
      <c r="I133" s="96">
        <f t="shared" si="127"/>
        <v>2062342.623931624</v>
      </c>
      <c r="J133" s="96">
        <f t="shared" si="127"/>
        <v>0</v>
      </c>
      <c r="K133" s="96">
        <f>K132+K107+K67</f>
        <v>50217720</v>
      </c>
      <c r="L133" s="96">
        <f t="shared" ref="L133:O133" si="128">L132+L107+L67</f>
        <v>-500000</v>
      </c>
      <c r="M133" s="96">
        <f t="shared" si="128"/>
        <v>49717720</v>
      </c>
      <c r="N133" s="96">
        <f t="shared" si="128"/>
        <v>-0.11999999999534339</v>
      </c>
      <c r="O133" s="96">
        <f t="shared" si="128"/>
        <v>49717719.879999995</v>
      </c>
      <c r="P133" s="96"/>
      <c r="Q133" s="96"/>
      <c r="R133" s="96">
        <f t="shared" ref="R133" si="129">R132+R107+R67</f>
        <v>49717719.879999995</v>
      </c>
      <c r="S133" s="26" t="s">
        <v>4</v>
      </c>
    </row>
    <row r="134" spans="1:19" x14ac:dyDescent="0.2">
      <c r="C134" s="97">
        <f t="shared" ref="C134:I134" si="130">C31-C133</f>
        <v>0</v>
      </c>
      <c r="D134" s="137">
        <f t="shared" si="130"/>
        <v>933999.56000000238</v>
      </c>
      <c r="E134" s="97">
        <f t="shared" si="130"/>
        <v>1126081.8100000024</v>
      </c>
      <c r="F134" s="166">
        <f t="shared" si="130"/>
        <v>0</v>
      </c>
      <c r="G134" s="97">
        <f t="shared" si="130"/>
        <v>-0.27850739657878876</v>
      </c>
      <c r="H134" s="97">
        <f t="shared" si="130"/>
        <v>-9.7560975700616837E-2</v>
      </c>
      <c r="I134" s="97">
        <f t="shared" si="130"/>
        <v>0.37606837600469589</v>
      </c>
      <c r="J134" s="153"/>
      <c r="K134" s="153"/>
      <c r="L134" s="153"/>
      <c r="M134" s="153"/>
      <c r="N134" s="153"/>
      <c r="O134" s="153"/>
      <c r="P134" s="153"/>
      <c r="Q134" s="153"/>
      <c r="R134" s="153"/>
    </row>
    <row r="135" spans="1:19" x14ac:dyDescent="0.2">
      <c r="E135" s="97"/>
      <c r="F135" s="98" t="s">
        <v>158</v>
      </c>
      <c r="G135" s="98"/>
      <c r="H135" s="98">
        <v>664621</v>
      </c>
      <c r="I135" s="98">
        <v>838411</v>
      </c>
      <c r="J135" s="98"/>
      <c r="K135" s="98"/>
      <c r="L135" s="98"/>
      <c r="M135" s="98"/>
      <c r="N135" s="98"/>
      <c r="O135" s="98"/>
      <c r="P135" s="98"/>
      <c r="Q135" s="98"/>
      <c r="R135" s="98"/>
    </row>
    <row r="136" spans="1:19" x14ac:dyDescent="0.2">
      <c r="E136" s="97"/>
      <c r="F136" s="99" t="s">
        <v>157</v>
      </c>
      <c r="G136" s="99"/>
      <c r="H136" s="99">
        <f>H135/F131</f>
        <v>0.11114063545150502</v>
      </c>
      <c r="I136" s="99">
        <f>I135/F131</f>
        <v>0.14020250836120401</v>
      </c>
      <c r="J136" s="99"/>
      <c r="K136" s="99"/>
      <c r="L136" s="99"/>
      <c r="M136" s="99"/>
      <c r="N136" s="99"/>
      <c r="O136" s="99"/>
      <c r="P136" s="99"/>
      <c r="Q136" s="173"/>
      <c r="R136" s="99"/>
    </row>
    <row r="137" spans="1:19" ht="26.25" customHeight="1" x14ac:dyDescent="0.2">
      <c r="A137" s="174"/>
      <c r="B137" s="175"/>
      <c r="C137" s="175"/>
      <c r="D137" s="175"/>
      <c r="E137" s="175"/>
      <c r="F137" s="175"/>
      <c r="G137" s="175"/>
      <c r="H137" s="175"/>
      <c r="I137" s="175"/>
      <c r="J137" s="175"/>
      <c r="K137" s="175"/>
      <c r="L137" s="175"/>
      <c r="M137" s="175"/>
      <c r="N137" s="175"/>
      <c r="O137" s="175"/>
      <c r="P137" s="175"/>
      <c r="Q137" s="175"/>
      <c r="R137" s="175"/>
      <c r="S137" s="175"/>
    </row>
    <row r="138" spans="1:19" x14ac:dyDescent="0.2">
      <c r="B138" s="17"/>
      <c r="O138" s="173"/>
    </row>
    <row r="139" spans="1:19" x14ac:dyDescent="0.2">
      <c r="B139" s="17"/>
      <c r="O139" s="173">
        <f>O133-R133</f>
        <v>0</v>
      </c>
    </row>
    <row r="140" spans="1:19" x14ac:dyDescent="0.2">
      <c r="B140" s="14"/>
    </row>
    <row r="141" spans="1:19" x14ac:dyDescent="0.2">
      <c r="B141" s="14"/>
    </row>
  </sheetData>
  <mergeCells count="1">
    <mergeCell ref="A137:S137"/>
  </mergeCells>
  <phoneticPr fontId="2" type="noConversion"/>
  <pageMargins left="0.39370078740157483" right="0.23622047244094491" top="0.70866141732283472" bottom="0.39370078740157483" header="0.31496062992125984" footer="0.15748031496062992"/>
  <pageSetup scale="64" fitToWidth="0" fitToHeight="0" orientation="landscape" r:id="rId1"/>
  <headerFooter alignWithMargins="0">
    <oddHeader>&amp;C&amp;12 Budget 2017 - 3ème révision</oddHeader>
    <oddFooter>&amp;CPage &amp;P</oddFooter>
  </headerFooter>
  <rowBreaks count="6" manualBreakCount="6">
    <brk id="11" max="13" man="1"/>
    <brk id="31" max="13" man="1"/>
    <brk id="49" max="13" man="1"/>
    <brk id="67" max="13" man="1"/>
    <brk id="86" max="13" man="1"/>
    <brk id="107"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 Nature</vt:lpstr>
      <vt:lpstr>'Budg Nature'!Print_Area</vt:lpstr>
      <vt:lpstr>'Budg Nature'!Print_Titles</vt:lpstr>
    </vt:vector>
  </TitlesOfParts>
  <Company>personnel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PONTA-BREITENSTEIN Valerie (EACEA)</dc:creator>
  <cp:lastModifiedBy>DERIDEAU Etienne (EACEA)</cp:lastModifiedBy>
  <cp:lastPrinted>2017-09-19T15:35:24Z</cp:lastPrinted>
  <dcterms:created xsi:type="dcterms:W3CDTF">2004-06-25T08:32:43Z</dcterms:created>
  <dcterms:modified xsi:type="dcterms:W3CDTF">2017-12-15T13:08:33Z</dcterms:modified>
</cp:coreProperties>
</file>